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xr:revisionPtr revIDLastSave="0" documentId="13_ncr:1_{65193031-FC9B-4547-BBB1-3E16BA52A2D3}" xr6:coauthVersionLast="47" xr6:coauthVersionMax="47" xr10:uidLastSave="{00000000-0000-0000-0000-000000000000}"/>
  <bookViews>
    <workbookView xWindow="28680" yWindow="-120" windowWidth="29040" windowHeight="17640" xr2:uid="{7977AAC6-3845-4CB9-B3E5-C0376CA0B2E5}"/>
  </bookViews>
  <sheets>
    <sheet name="Debt Service Rate Setting" sheetId="1" r:id="rId1"/>
  </sheets>
  <externalReferences>
    <externalReference r:id="rId2"/>
  </externalReferences>
  <definedNames>
    <definedName name="\h">'[1]GO DEBT SUMMARY'!#REF!</definedName>
    <definedName name="\i">'[1]GO DEBT SUMMARY'!#REF!</definedName>
    <definedName name="\k">'[1]GO DEBT SUMMARY'!#REF!</definedName>
    <definedName name="\l">'[1]GO DEBT SUMMARY'!#REF!</definedName>
    <definedName name="\m">'[1]GO DEBT SUMMARY'!#REF!</definedName>
    <definedName name="_C">#REF!</definedName>
    <definedName name="A">#REF!</definedName>
    <definedName name="AL">[1]Taos!$N$5</definedName>
    <definedName name="B">#REF!</definedName>
    <definedName name="G">[1]Taos!$U$5</definedName>
    <definedName name="MAINPT">'[1]GO DEBT SUMMARY'!#REF!</definedName>
    <definedName name="_xlnm.Print_Area" localSheetId="0">'Debt Service Rate Setting'!$A$1:$K$200</definedName>
    <definedName name="_xlnm.Print_Area">#REF!</definedName>
    <definedName name="_xlnm.Print_Titles">#REF!</definedName>
    <definedName name="Print_Titles_MI">'[1]GO DEBT SUMMARY'!$1:$5,'[1]GO DEBT SUMMARY'!$A:$B</definedName>
    <definedName name="SIDELABEL">'[1]GO DEBT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8" i="1" l="1"/>
  <c r="C158" i="1"/>
  <c r="D146" i="1"/>
  <c r="C146" i="1"/>
  <c r="C115" i="1"/>
  <c r="C114" i="1"/>
  <c r="D13" i="1"/>
  <c r="C13" i="1"/>
  <c r="D111" i="1" l="1"/>
  <c r="C111" i="1"/>
  <c r="D110" i="1"/>
  <c r="C110" i="1"/>
  <c r="D109" i="1"/>
  <c r="C109" i="1"/>
  <c r="C108" i="1"/>
  <c r="C191" i="1"/>
  <c r="D190" i="1"/>
  <c r="C190" i="1"/>
  <c r="D189" i="1"/>
  <c r="C189" i="1"/>
  <c r="D188" i="1"/>
  <c r="C188" i="1"/>
  <c r="D187" i="1"/>
  <c r="C187" i="1"/>
  <c r="D186" i="1"/>
  <c r="C186" i="1"/>
  <c r="D184" i="1"/>
  <c r="C184" i="1"/>
  <c r="D183" i="1"/>
  <c r="C183" i="1"/>
  <c r="D182" i="1"/>
  <c r="C182" i="1"/>
  <c r="D181" i="1"/>
  <c r="C181" i="1"/>
  <c r="D180" i="1"/>
  <c r="C180" i="1"/>
  <c r="D178" i="1"/>
  <c r="C178" i="1"/>
  <c r="D177" i="1"/>
  <c r="C177" i="1"/>
  <c r="D176" i="1"/>
  <c r="C176" i="1"/>
  <c r="D137" i="1"/>
  <c r="H137" i="1" l="1"/>
  <c r="D175" i="1"/>
  <c r="C175" i="1"/>
  <c r="D174" i="1"/>
  <c r="C174" i="1"/>
  <c r="D173" i="1"/>
  <c r="C173" i="1"/>
  <c r="D171" i="1"/>
  <c r="H171" i="1" s="1"/>
  <c r="C171" i="1"/>
  <c r="D170" i="1"/>
  <c r="C170" i="1"/>
  <c r="D169" i="1"/>
  <c r="C169" i="1"/>
  <c r="D168" i="1"/>
  <c r="C168" i="1"/>
  <c r="C167" i="1"/>
  <c r="I167" i="1" s="1"/>
  <c r="D167" i="1"/>
  <c r="D165" i="1"/>
  <c r="C165" i="1"/>
  <c r="D164" i="1"/>
  <c r="C164" i="1"/>
  <c r="D163" i="1"/>
  <c r="C163" i="1"/>
  <c r="D157" i="1"/>
  <c r="H157" i="1" s="1"/>
  <c r="C157" i="1"/>
  <c r="D156" i="1"/>
  <c r="C156" i="1"/>
  <c r="D155" i="1"/>
  <c r="C155" i="1"/>
  <c r="D153" i="1"/>
  <c r="C153" i="1"/>
  <c r="D152" i="1"/>
  <c r="C152" i="1"/>
  <c r="D151" i="1"/>
  <c r="C151" i="1"/>
  <c r="D150" i="1"/>
  <c r="C150" i="1"/>
  <c r="D149" i="1"/>
  <c r="C149" i="1"/>
  <c r="D136" i="1"/>
  <c r="H136" i="1" s="1"/>
  <c r="C136" i="1"/>
  <c r="D135" i="1"/>
  <c r="C135" i="1"/>
  <c r="D134" i="1"/>
  <c r="C134" i="1"/>
  <c r="D133" i="1"/>
  <c r="C133" i="1"/>
  <c r="D132" i="1"/>
  <c r="C132" i="1"/>
  <c r="D131" i="1"/>
  <c r="C131" i="1"/>
  <c r="H131" i="1" s="1"/>
  <c r="D130" i="1"/>
  <c r="C130" i="1"/>
  <c r="D147" i="1"/>
  <c r="H147" i="1" s="1"/>
  <c r="C147" i="1"/>
  <c r="D145" i="1"/>
  <c r="C145" i="1"/>
  <c r="D143" i="1"/>
  <c r="C143" i="1"/>
  <c r="D142" i="1"/>
  <c r="C142" i="1"/>
  <c r="D141" i="1"/>
  <c r="C141" i="1"/>
  <c r="D140" i="1"/>
  <c r="C140" i="1"/>
  <c r="D139" i="1"/>
  <c r="C13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1" i="1"/>
  <c r="H121" i="1" s="1"/>
  <c r="C121" i="1"/>
  <c r="D120" i="1"/>
  <c r="C120" i="1"/>
  <c r="D119" i="1"/>
  <c r="C119" i="1"/>
  <c r="C117" i="1"/>
  <c r="H116" i="1"/>
  <c r="C116" i="1"/>
  <c r="D104" i="1"/>
  <c r="C104" i="1"/>
  <c r="D103" i="1"/>
  <c r="C103" i="1"/>
  <c r="D101" i="1"/>
  <c r="C101" i="1"/>
  <c r="D100" i="1"/>
  <c r="C100" i="1"/>
  <c r="D98" i="1"/>
  <c r="C98" i="1"/>
  <c r="D97" i="1"/>
  <c r="C97" i="1"/>
  <c r="D96" i="1"/>
  <c r="C96" i="1"/>
  <c r="D94" i="1"/>
  <c r="I94" i="1" s="1"/>
  <c r="C94" i="1"/>
  <c r="D92" i="1"/>
  <c r="C92" i="1"/>
  <c r="D91" i="1"/>
  <c r="C91" i="1"/>
  <c r="D90" i="1"/>
  <c r="C90" i="1"/>
  <c r="D89" i="1"/>
  <c r="C89" i="1"/>
  <c r="D88" i="1"/>
  <c r="C88" i="1"/>
  <c r="D87" i="1"/>
  <c r="C87" i="1"/>
  <c r="D85" i="1"/>
  <c r="C85" i="1"/>
  <c r="H85" i="1" s="1"/>
  <c r="D84" i="1"/>
  <c r="H84" i="1" s="1"/>
  <c r="C84" i="1"/>
  <c r="D83" i="1"/>
  <c r="C83" i="1"/>
  <c r="D82" i="1"/>
  <c r="C82" i="1"/>
  <c r="D81" i="1"/>
  <c r="C81" i="1"/>
  <c r="D80" i="1"/>
  <c r="C80" i="1"/>
  <c r="D78" i="1"/>
  <c r="C78" i="1"/>
  <c r="D77" i="1"/>
  <c r="C77" i="1"/>
  <c r="D76" i="1"/>
  <c r="C76" i="1"/>
  <c r="D74" i="1"/>
  <c r="H74" i="1" s="1"/>
  <c r="C74" i="1"/>
  <c r="D73" i="1"/>
  <c r="C73" i="1"/>
  <c r="D72" i="1"/>
  <c r="C72" i="1"/>
  <c r="D70" i="1"/>
  <c r="C70" i="1"/>
  <c r="D69" i="1"/>
  <c r="C69" i="1"/>
  <c r="C68" i="1"/>
  <c r="D66" i="1"/>
  <c r="H66" i="1" s="1"/>
  <c r="C66" i="1"/>
  <c r="D65" i="1"/>
  <c r="C65" i="1"/>
  <c r="D64" i="1"/>
  <c r="C64" i="1"/>
  <c r="D63" i="1"/>
  <c r="C63" i="1"/>
  <c r="D62" i="1"/>
  <c r="C62" i="1"/>
  <c r="D60" i="1"/>
  <c r="C60" i="1"/>
  <c r="D59" i="1"/>
  <c r="C59" i="1"/>
  <c r="H59" i="1" s="1"/>
  <c r="D58" i="1"/>
  <c r="C58" i="1"/>
  <c r="D57" i="1"/>
  <c r="C57" i="1"/>
  <c r="D56" i="1"/>
  <c r="C56" i="1"/>
  <c r="D54" i="1"/>
  <c r="C54" i="1"/>
  <c r="H54" i="1" s="1"/>
  <c r="D50" i="1"/>
  <c r="C50" i="1"/>
  <c r="D49" i="1"/>
  <c r="C49" i="1"/>
  <c r="D48" i="1"/>
  <c r="C48" i="1"/>
  <c r="D47" i="1"/>
  <c r="C47" i="1"/>
  <c r="D46" i="1"/>
  <c r="I46" i="1"/>
  <c r="C46" i="1"/>
  <c r="D44" i="1"/>
  <c r="C44" i="1"/>
  <c r="D43" i="1"/>
  <c r="C43" i="1"/>
  <c r="I43" i="1" s="1"/>
  <c r="D41" i="1"/>
  <c r="H41" i="1" s="1"/>
  <c r="D40" i="1"/>
  <c r="C40" i="1"/>
  <c r="D39" i="1"/>
  <c r="C39" i="1"/>
  <c r="D38" i="1"/>
  <c r="C38" i="1"/>
  <c r="D37" i="1"/>
  <c r="C37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7" i="1"/>
  <c r="C27" i="1"/>
  <c r="H27" i="1" s="1"/>
  <c r="D26" i="1"/>
  <c r="C26" i="1"/>
  <c r="D25" i="1"/>
  <c r="C25" i="1"/>
  <c r="D23" i="1"/>
  <c r="C23" i="1"/>
  <c r="D22" i="1"/>
  <c r="C22" i="1"/>
  <c r="H22" i="1" s="1"/>
  <c r="D21" i="1"/>
  <c r="C21" i="1"/>
  <c r="D20" i="1"/>
  <c r="C20" i="1"/>
  <c r="D19" i="1"/>
  <c r="C19" i="1"/>
  <c r="D17" i="1"/>
  <c r="C17" i="1"/>
  <c r="H17" i="1" s="1"/>
  <c r="H13" i="1"/>
  <c r="D10" i="1"/>
  <c r="C10" i="1"/>
  <c r="D16" i="1"/>
  <c r="C16" i="1"/>
  <c r="D8" i="1"/>
  <c r="D11" i="1"/>
  <c r="C11" i="1"/>
  <c r="D9" i="1"/>
  <c r="H9" i="1"/>
  <c r="H189" i="1"/>
  <c r="H187" i="1"/>
  <c r="H184" i="1"/>
  <c r="H181" i="1"/>
  <c r="F180" i="1"/>
  <c r="E180" i="1"/>
  <c r="H178" i="1"/>
  <c r="H177" i="1"/>
  <c r="H176" i="1"/>
  <c r="H175" i="1"/>
  <c r="I173" i="1"/>
  <c r="H170" i="1"/>
  <c r="H168" i="1"/>
  <c r="H164" i="1"/>
  <c r="H158" i="1"/>
  <c r="I155" i="1"/>
  <c r="H153" i="1"/>
  <c r="H152" i="1"/>
  <c r="H151" i="1"/>
  <c r="H150" i="1"/>
  <c r="I149" i="1"/>
  <c r="F142" i="1"/>
  <c r="E142" i="1"/>
  <c r="F141" i="1"/>
  <c r="E141" i="1"/>
  <c r="H141" i="1" s="1"/>
  <c r="F140" i="1"/>
  <c r="E140" i="1"/>
  <c r="F139" i="1"/>
  <c r="E139" i="1"/>
  <c r="I139" i="1" s="1"/>
  <c r="H133" i="1"/>
  <c r="F130" i="1"/>
  <c r="E130" i="1"/>
  <c r="H126" i="1"/>
  <c r="H125" i="1"/>
  <c r="H124" i="1"/>
  <c r="F123" i="1"/>
  <c r="E123" i="1"/>
  <c r="H120" i="1"/>
  <c r="F119" i="1"/>
  <c r="E119" i="1"/>
  <c r="H117" i="1"/>
  <c r="H114" i="1"/>
  <c r="F113" i="1"/>
  <c r="I113" i="1" s="1"/>
  <c r="E113" i="1"/>
  <c r="H110" i="1"/>
  <c r="I108" i="1"/>
  <c r="H104" i="1"/>
  <c r="I103" i="1"/>
  <c r="F100" i="1"/>
  <c r="E100" i="1"/>
  <c r="H98" i="1"/>
  <c r="I96" i="1"/>
  <c r="H92" i="1"/>
  <c r="H91" i="1"/>
  <c r="H90" i="1"/>
  <c r="I87" i="1"/>
  <c r="F83" i="1"/>
  <c r="E83" i="1"/>
  <c r="F82" i="1"/>
  <c r="E82" i="1"/>
  <c r="F81" i="1"/>
  <c r="E81" i="1"/>
  <c r="F80" i="1"/>
  <c r="E80" i="1"/>
  <c r="H78" i="1"/>
  <c r="F72" i="1"/>
  <c r="E72" i="1"/>
  <c r="I72" i="1" s="1"/>
  <c r="H70" i="1"/>
  <c r="H69" i="1"/>
  <c r="F68" i="1"/>
  <c r="E68" i="1"/>
  <c r="H65" i="1"/>
  <c r="H63" i="1"/>
  <c r="G62" i="1"/>
  <c r="G192" i="1" s="1"/>
  <c r="H60" i="1"/>
  <c r="F58" i="1"/>
  <c r="E58" i="1"/>
  <c r="F57" i="1"/>
  <c r="E57" i="1"/>
  <c r="F56" i="1"/>
  <c r="E56" i="1"/>
  <c r="H48" i="1"/>
  <c r="H47" i="1"/>
  <c r="H39" i="1"/>
  <c r="H38" i="1"/>
  <c r="H35" i="1"/>
  <c r="H31" i="1"/>
  <c r="H30" i="1"/>
  <c r="F29" i="1"/>
  <c r="E29" i="1"/>
  <c r="H20" i="1"/>
  <c r="F19" i="1"/>
  <c r="E19" i="1"/>
  <c r="I19" i="1" s="1"/>
  <c r="I16" i="1"/>
  <c r="H12" i="1"/>
  <c r="H10" i="1"/>
  <c r="I76" i="1" l="1"/>
  <c r="H33" i="1"/>
  <c r="H49" i="1"/>
  <c r="I25" i="1"/>
  <c r="H135" i="1"/>
  <c r="H21" i="1"/>
  <c r="H50" i="1"/>
  <c r="H89" i="1"/>
  <c r="H142" i="1"/>
  <c r="H57" i="1"/>
  <c r="H190" i="1"/>
  <c r="H182" i="1"/>
  <c r="I180" i="1"/>
  <c r="I56" i="1"/>
  <c r="H169" i="1"/>
  <c r="H40" i="1"/>
  <c r="G193" i="1"/>
  <c r="H73" i="1"/>
  <c r="H140" i="1"/>
  <c r="D192" i="1"/>
  <c r="D193" i="1" s="1"/>
  <c r="I29" i="1"/>
  <c r="H32" i="1"/>
  <c r="H44" i="1"/>
  <c r="F192" i="1"/>
  <c r="F193" i="1" s="1"/>
  <c r="H64" i="1"/>
  <c r="H88" i="1"/>
  <c r="H111" i="1"/>
  <c r="H115" i="1"/>
  <c r="I119" i="1"/>
  <c r="H146" i="1"/>
  <c r="H174" i="1"/>
  <c r="H183" i="1"/>
  <c r="H191" i="1"/>
  <c r="C192" i="1"/>
  <c r="C193" i="1" s="1"/>
  <c r="E192" i="1"/>
  <c r="E193" i="1" s="1"/>
  <c r="I130" i="1"/>
  <c r="I145" i="1"/>
  <c r="I8" i="1"/>
  <c r="H26" i="1"/>
  <c r="I37" i="1"/>
  <c r="I68" i="1"/>
  <c r="I80" i="1"/>
  <c r="H82" i="1"/>
  <c r="H97" i="1"/>
  <c r="H101" i="1"/>
  <c r="I123" i="1"/>
  <c r="H134" i="1"/>
  <c r="I163" i="1"/>
  <c r="H188" i="1"/>
  <c r="H58" i="1"/>
  <c r="I62" i="1"/>
  <c r="H109" i="1"/>
  <c r="H127" i="1"/>
  <c r="H156" i="1"/>
  <c r="H11" i="1"/>
  <c r="H23" i="1"/>
  <c r="H34" i="1"/>
  <c r="H77" i="1"/>
  <c r="H81" i="1"/>
  <c r="H83" i="1"/>
  <c r="I100" i="1"/>
  <c r="H128" i="1"/>
  <c r="H132" i="1"/>
  <c r="H143" i="1"/>
  <c r="H165" i="1"/>
  <c r="I186" i="1"/>
  <c r="J13" i="1"/>
  <c r="K137" i="1" s="1"/>
  <c r="I192" i="1" l="1"/>
  <c r="H193" i="1"/>
  <c r="K152" i="1"/>
  <c r="H194" i="1"/>
  <c r="H195" i="1" s="1"/>
  <c r="J192" i="1"/>
  <c r="K13" i="1"/>
  <c r="K1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Jolene Gonzales</author>
  </authors>
  <commentList>
    <comment ref="A13" authorId="0" shapeId="0" xr:uid="{0A63D41C-A746-478F-A614-6EDFE30C832F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Don’t update or change. Leave value the same as the initial amount on the "Debt Service Rate Setting' Tab.  </t>
        </r>
      </text>
    </comment>
    <comment ref="A137" authorId="0" shapeId="0" xr:uid="{6DF3EC97-258F-4213-859A-76D578047439}">
      <text>
        <r>
          <rPr>
            <b/>
            <sz val="9"/>
            <color indexed="81"/>
            <rFont val="Tahoma"/>
            <family val="2"/>
          </rPr>
          <t>Jolene Gonzales:</t>
        </r>
        <r>
          <rPr>
            <sz val="9"/>
            <color indexed="81"/>
            <rFont val="Tahoma"/>
            <family val="2"/>
          </rPr>
          <t xml:space="preserve">
Keep values at what the Initial debt rate setting on property tax workbook. In other words dont update/change.
</t>
        </r>
      </text>
    </comment>
  </commentList>
</comments>
</file>

<file path=xl/sharedStrings.xml><?xml version="1.0" encoding="utf-8"?>
<sst xmlns="http://schemas.openxmlformats.org/spreadsheetml/2006/main" count="337" uniqueCount="227">
  <si>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</si>
  <si>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</si>
  <si>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</si>
  <si>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</si>
  <si>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</si>
  <si>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</si>
  <si>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</si>
  <si>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</si>
  <si>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</si>
  <si>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</si>
  <si>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</si>
  <si>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</si>
  <si>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</si>
  <si>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</si>
  <si>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</si>
  <si>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</si>
  <si>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</si>
  <si>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</si>
  <si>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</si>
  <si>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</si>
  <si>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</si>
  <si>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</si>
  <si>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</si>
  <si>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</si>
  <si>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</si>
  <si>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</si>
  <si>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</si>
  <si>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</si>
  <si>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</si>
  <si>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</si>
  <si>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</si>
  <si>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</si>
  <si>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</si>
  <si>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</si>
  <si>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</si>
  <si>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</si>
  <si>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</si>
  <si>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</si>
  <si>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</si>
  <si>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</si>
  <si>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</si>
  <si>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</si>
  <si>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</si>
  <si>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</si>
  <si>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</si>
  <si>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</si>
  <si>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</si>
  <si>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</si>
  <si>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</si>
  <si>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</si>
  <si>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</si>
  <si>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</si>
  <si>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</si>
  <si>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</si>
  <si>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</si>
  <si>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</si>
  <si>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</si>
  <si>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</si>
  <si>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</si>
  <si>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</si>
  <si>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</si>
  <si>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</si>
  <si>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</si>
  <si>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</si>
  <si>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</si>
  <si>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</si>
  <si>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</si>
  <si>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</si>
  <si>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</si>
  <si>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>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</si>
  <si>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</si>
  <si>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</si>
  <si>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</si>
  <si>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</si>
  <si>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</si>
  <si>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</si>
  <si>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</si>
  <si>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</si>
  <si>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</si>
  <si>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</si>
  <si>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</si>
  <si>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</si>
  <si>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</si>
  <si>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</si>
  <si>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</si>
  <si>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</si>
  <si>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</si>
  <si>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</si>
  <si>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</si>
  <si>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</si>
  <si>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</si>
  <si>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</si>
  <si>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</si>
  <si>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</si>
  <si>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</si>
  <si>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</si>
  <si>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</si>
  <si>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</si>
  <si>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</si>
  <si>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</si>
  <si>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</si>
  <si>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</si>
  <si>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</si>
  <si>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</si>
  <si>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</si>
  <si>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</si>
  <si>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</si>
  <si>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</si>
  <si>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</si>
  <si>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</si>
  <si>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</si>
  <si>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</si>
  <si>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</si>
  <si>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</si>
  <si>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</si>
  <si>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</si>
  <si>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</si>
  <si>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</si>
  <si>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</si>
  <si>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</si>
  <si>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</si>
  <si>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</si>
  <si>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</si>
  <si>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</si>
  <si>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</si>
  <si>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</si>
  <si>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</si>
  <si>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</si>
  <si>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</si>
  <si>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</si>
  <si>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</si>
  <si>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</si>
  <si>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</si>
  <si>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</si>
  <si>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</si>
  <si>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</si>
  <si>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</si>
  <si>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</si>
  <si>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</si>
  <si>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</si>
  <si>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</si>
  <si>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</si>
  <si>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</si>
  <si>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</si>
  <si>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</si>
  <si>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</si>
  <si>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</si>
  <si>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</si>
  <si>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</si>
  <si>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</si>
  <si>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</si>
  <si>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</si>
  <si>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</si>
  <si>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</si>
  <si>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</si>
  <si>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</si>
  <si>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>2A/2AC</t>
  </si>
  <si>
    <t>% in Sand Co:</t>
  </si>
  <si>
    <t>1OUT</t>
  </si>
  <si>
    <t>San Juan</t>
  </si>
  <si>
    <t xml:space="preserve">            Aztec</t>
  </si>
  <si>
    <t xml:space="preserve">            Bloomfield</t>
  </si>
  <si>
    <t>6+6120</t>
  </si>
  <si>
    <t xml:space="preserve">            Farmington</t>
  </si>
  <si>
    <t xml:space="preserve">            Kirtland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</si>
  <si>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</si>
  <si>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</si>
  <si>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</si>
  <si>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</si>
  <si>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</si>
  <si>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</si>
  <si>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</si>
  <si>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</si>
  <si>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>% in Santa Fe Co: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</si>
  <si>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</si>
  <si>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</si>
  <si>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</si>
  <si>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</si>
  <si>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</si>
  <si>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</si>
  <si>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</si>
  <si>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</si>
  <si>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</si>
  <si>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</si>
  <si>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</si>
  <si>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</si>
  <si>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</si>
  <si>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</si>
  <si>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</si>
  <si>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</si>
  <si>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</si>
  <si>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</si>
  <si>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</si>
  <si>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</si>
  <si>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</si>
  <si>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</si>
  <si>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</si>
  <si>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</si>
  <si>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</si>
  <si>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</si>
  <si>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</si>
  <si>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Union*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</si>
  <si>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</si>
  <si>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</si>
  <si>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</si>
  <si>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</si>
  <si>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</si>
  <si>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</si>
  <si>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</si>
  <si>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</si>
  <si>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</si>
  <si>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</si>
  <si>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</si>
  <si>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</si>
  <si>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</si>
  <si>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</si>
  <si>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</si>
  <si>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</si>
  <si>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</si>
  <si>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</si>
  <si>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</si>
  <si>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</si>
  <si>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Municipal Total with Los Alamos:</t>
  </si>
  <si>
    <t>*Union County's Oil &amp; Gas production reflects assessed value after excluding negative amendment for taxpayer who previously mis-reported the location code.</t>
  </si>
  <si>
    <t>12 E OUT</t>
  </si>
  <si>
    <t>TAX YEAR 2021</t>
  </si>
  <si>
    <t>Quay County's abstract was revised and revision was provided by TRD Property Tax Division on 3/21/2022.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</si>
</sst>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0"/>
      <name val="Helv"/>
    </font>
    <font>
      <b/>
      <sz val="11"/>
      <color rgb="FF0000FF"/>
      <name val="Arial"/>
      <family val="2"/>
    </font>
    <font>
      <sz val="10"/>
      <color indexed="12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14" fontId="3" fillId="0" borderId="0" xfId="0" applyNumberFormat="1" applyFont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164" fontId="0" fillId="0" borderId="0" xfId="1" applyNumberFormat="1" applyFont="1"/>
    <xf numFmtId="164" fontId="1" fillId="0" borderId="0" xfId="1" applyNumberFormat="1" applyFont="1" applyProtection="1"/>
    <xf numFmtId="164" fontId="1" fillId="0" borderId="0" xfId="1" applyNumberFormat="1" applyFont="1" applyFill="1" applyProtection="1"/>
    <xf numFmtId="0" fontId="1" fillId="0" borderId="0" xfId="0" applyFont="1" applyAlignment="1">
      <alignment horizontal="right"/>
    </xf>
    <xf numFmtId="164" fontId="1" fillId="0" borderId="0" xfId="0" applyNumberFormat="1" applyFont="1"/>
    <xf numFmtId="10" fontId="1" fillId="0" borderId="0" xfId="2" applyNumberFormat="1" applyFont="1"/>
    <xf numFmtId="3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2" fillId="2" borderId="3" xfId="0" applyFont="1" applyFill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1" applyNumberFormat="1" applyFont="1" applyFill="1" applyBorder="1" applyAlignment="1" applyProtection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37" fontId="1" fillId="0" borderId="0" xfId="0" applyNumberFormat="1" applyFont="1"/>
    <xf numFmtId="164" fontId="1" fillId="0" borderId="0" xfId="1" applyNumberFormat="1" applyFont="1"/>
    <xf numFmtId="165" fontId="1" fillId="0" borderId="0" xfId="2" applyNumberFormat="1" applyFont="1"/>
    <xf numFmtId="10" fontId="2" fillId="0" borderId="0" xfId="0" applyNumberFormat="1" applyFont="1"/>
    <xf numFmtId="0" fontId="5" fillId="0" borderId="0" xfId="0" applyFont="1"/>
    <xf numFmtId="0" fontId="2" fillId="2" borderId="1" xfId="0" applyFont="1" applyFill="1" applyBorder="1" applyAlignment="1">
      <alignment horizontal="right"/>
    </xf>
    <xf numFmtId="37" fontId="2" fillId="2" borderId="2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/>
    <xf numFmtId="37" fontId="2" fillId="2" borderId="5" xfId="0" applyNumberFormat="1" applyFont="1" applyFill="1" applyBorder="1"/>
    <xf numFmtId="0" fontId="6" fillId="0" borderId="0" xfId="0" applyFont="1"/>
    <xf numFmtId="37" fontId="6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166" fontId="1" fillId="0" borderId="0" xfId="0" applyNumberFormat="1" applyFont="1"/>
    <xf numFmtId="37" fontId="8" fillId="0" borderId="0" xfId="0" applyNumberFormat="1" applyFont="1" applyProtection="1">
      <protection locked="0"/>
    </xf>
    <xf numFmtId="0" fontId="1" fillId="3" borderId="0" xfId="0" applyFont="1" applyFill="1"/>
    <xf numFmtId="164" fontId="0" fillId="3" borderId="0" xfId="1" applyNumberFormat="1" applyFont="1" applyFill="1"/>
    <xf numFmtId="164" fontId="1" fillId="3" borderId="0" xfId="1" applyNumberFormat="1" applyFont="1" applyFill="1" applyProtection="1"/>
    <xf numFmtId="164" fontId="0" fillId="4" borderId="0" xfId="1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2021%20taxrates/2021%20PROPERTY%20TAX%20WORKBOOK%20(Final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3 Yr Average Collection Rate"/>
      <sheetName val="GO DEBT SUMMARY"/>
      <sheetName val="Hospital Mills"/>
      <sheetName val="Special Districts"/>
      <sheetName val="HED"/>
      <sheetName val="P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 refreshError="1"/>
      <sheetData sheetId="1">
        <row r="4">
          <cell r="E4" t="str">
            <v>TAX YEAR 2021</v>
          </cell>
        </row>
        <row r="130">
          <cell r="E130">
            <v>3879978</v>
          </cell>
        </row>
        <row r="131">
          <cell r="E131">
            <v>870733.22</v>
          </cell>
        </row>
        <row r="134">
          <cell r="E134">
            <v>181897.07</v>
          </cell>
        </row>
        <row r="135">
          <cell r="E135">
            <v>47949.05</v>
          </cell>
        </row>
        <row r="138">
          <cell r="E138">
            <v>157522.01999999999</v>
          </cell>
        </row>
        <row r="139">
          <cell r="E139">
            <v>35456.080000000002</v>
          </cell>
        </row>
        <row r="142">
          <cell r="E142">
            <v>20524713.329999998</v>
          </cell>
        </row>
        <row r="143">
          <cell r="E143">
            <v>4996283.87</v>
          </cell>
        </row>
        <row r="146">
          <cell r="E146">
            <v>0</v>
          </cell>
        </row>
        <row r="147">
          <cell r="E147">
            <v>0</v>
          </cell>
        </row>
        <row r="150">
          <cell r="E150">
            <v>71779.429999999993</v>
          </cell>
        </row>
        <row r="151">
          <cell r="E151">
            <v>16827.57</v>
          </cell>
        </row>
        <row r="222">
          <cell r="E222">
            <v>10934610.289999999</v>
          </cell>
        </row>
        <row r="223">
          <cell r="E223">
            <v>2251425.1</v>
          </cell>
        </row>
        <row r="226">
          <cell r="E226">
            <v>1943088.25</v>
          </cell>
        </row>
        <row r="227">
          <cell r="E227">
            <v>292286.68</v>
          </cell>
        </row>
        <row r="363">
          <cell r="F363">
            <v>2462595.6</v>
          </cell>
        </row>
        <row r="364">
          <cell r="F364">
            <v>511002.3</v>
          </cell>
        </row>
        <row r="373">
          <cell r="F373">
            <v>-227.95</v>
          </cell>
        </row>
        <row r="374">
          <cell r="F374">
            <v>45.01</v>
          </cell>
        </row>
        <row r="379">
          <cell r="F379">
            <v>2979294090.0500002</v>
          </cell>
        </row>
        <row r="380">
          <cell r="F380">
            <v>694470017.08999991</v>
          </cell>
        </row>
        <row r="409">
          <cell r="E409">
            <v>34848582</v>
          </cell>
        </row>
        <row r="412">
          <cell r="E412">
            <v>91223688</v>
          </cell>
        </row>
        <row r="439">
          <cell r="H439">
            <v>0</v>
          </cell>
        </row>
        <row r="440">
          <cell r="H440">
            <v>0</v>
          </cell>
        </row>
        <row r="471">
          <cell r="E471">
            <v>128691.19</v>
          </cell>
        </row>
        <row r="472">
          <cell r="E472">
            <v>38597.68</v>
          </cell>
        </row>
        <row r="475">
          <cell r="E475">
            <v>8821264.7100000009</v>
          </cell>
        </row>
        <row r="476">
          <cell r="E476">
            <v>2005458.12</v>
          </cell>
        </row>
        <row r="546">
          <cell r="E546">
            <v>1501073.54</v>
          </cell>
        </row>
        <row r="547">
          <cell r="E547">
            <v>321325.98</v>
          </cell>
        </row>
        <row r="552">
          <cell r="E552">
            <v>51347154.399999999</v>
          </cell>
        </row>
        <row r="553">
          <cell r="E553">
            <v>11901022.33</v>
          </cell>
        </row>
        <row r="558">
          <cell r="E558">
            <v>279830.89</v>
          </cell>
        </row>
        <row r="559">
          <cell r="E559">
            <v>61356.639999999999</v>
          </cell>
        </row>
        <row r="568">
          <cell r="E568">
            <v>3817159713.5499997</v>
          </cell>
        </row>
        <row r="569">
          <cell r="E569">
            <v>918758112.63000011</v>
          </cell>
        </row>
        <row r="691">
          <cell r="E691">
            <v>67669.119999999995</v>
          </cell>
        </row>
        <row r="692">
          <cell r="E692">
            <v>24090.77</v>
          </cell>
        </row>
        <row r="803">
          <cell r="E803">
            <v>511154.45</v>
          </cell>
        </row>
        <row r="804">
          <cell r="E804">
            <v>123346.69</v>
          </cell>
        </row>
        <row r="846">
          <cell r="E846">
            <v>73963315.480000004</v>
          </cell>
        </row>
        <row r="847">
          <cell r="E847">
            <v>25844469.600000001</v>
          </cell>
        </row>
        <row r="852">
          <cell r="E852">
            <v>43528872.539999999</v>
          </cell>
        </row>
        <row r="853">
          <cell r="E853">
            <v>12843780.01</v>
          </cell>
        </row>
        <row r="890">
          <cell r="E890">
            <v>1017691.2</v>
          </cell>
        </row>
        <row r="891">
          <cell r="E891">
            <v>229207.78</v>
          </cell>
        </row>
        <row r="894">
          <cell r="E894">
            <v>81602.929999999993</v>
          </cell>
        </row>
        <row r="895">
          <cell r="E895">
            <v>25139.27</v>
          </cell>
        </row>
        <row r="899">
          <cell r="E899">
            <v>6353448.5700000003</v>
          </cell>
        </row>
        <row r="900">
          <cell r="E900">
            <v>1467120.67</v>
          </cell>
        </row>
        <row r="935">
          <cell r="E935">
            <v>421058.84</v>
          </cell>
        </row>
        <row r="936">
          <cell r="E936">
            <v>128157.31</v>
          </cell>
        </row>
        <row r="939">
          <cell r="E939">
            <v>103437731.88</v>
          </cell>
        </row>
        <row r="940">
          <cell r="E940">
            <v>22238903.07</v>
          </cell>
        </row>
        <row r="941">
          <cell r="E941">
            <v>1357139.75</v>
          </cell>
        </row>
        <row r="942">
          <cell r="E942">
            <v>248425.88</v>
          </cell>
        </row>
        <row r="945">
          <cell r="E945">
            <v>23112227.600000001</v>
          </cell>
        </row>
        <row r="946">
          <cell r="E946">
            <v>5155564.32</v>
          </cell>
        </row>
        <row r="947">
          <cell r="E947">
            <v>220191.2</v>
          </cell>
        </row>
        <row r="948">
          <cell r="E948">
            <v>45871.39</v>
          </cell>
        </row>
        <row r="951">
          <cell r="E951">
            <v>166996404.41</v>
          </cell>
        </row>
        <row r="952">
          <cell r="E952">
            <v>34604299.609999999</v>
          </cell>
        </row>
        <row r="955">
          <cell r="E955">
            <v>1581073.55</v>
          </cell>
        </row>
        <row r="956">
          <cell r="E956">
            <v>617502.12</v>
          </cell>
        </row>
        <row r="1045">
          <cell r="E1045">
            <v>35806860.310000002</v>
          </cell>
        </row>
        <row r="1046">
          <cell r="E1046">
            <v>8583438.3800000008</v>
          </cell>
        </row>
        <row r="1276">
          <cell r="E1276">
            <v>3470688.7</v>
          </cell>
        </row>
        <row r="1277">
          <cell r="E1277">
            <v>868828.2</v>
          </cell>
        </row>
      </sheetData>
      <sheetData sheetId="2" refreshError="1"/>
      <sheetData sheetId="3">
        <row r="1">
          <cell r="E1">
            <v>2021</v>
          </cell>
          <cell r="M1" t="str">
            <v>GOB</v>
          </cell>
          <cell r="N1" t="str">
            <v>GOB</v>
          </cell>
          <cell r="R1" t="str">
            <v>GOB</v>
          </cell>
          <cell r="S1">
            <v>2022</v>
          </cell>
          <cell r="U1" t="str">
            <v>GOB</v>
          </cell>
        </row>
        <row r="2"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2021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R2" t="str">
            <v>Pmts. Due</v>
          </cell>
          <cell r="S2" t="str">
            <v>Additional</v>
          </cell>
          <cell r="U2">
            <v>2021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  <cell r="AE2" t="str">
            <v>GOB</v>
          </cell>
          <cell r="AF2" t="str">
            <v>GOB</v>
          </cell>
          <cell r="AG2" t="str">
            <v>GOB</v>
          </cell>
          <cell r="AH2" t="str">
            <v>GOB</v>
          </cell>
          <cell r="AI2" t="str">
            <v>GOB</v>
          </cell>
          <cell r="AJ2" t="str">
            <v>GOB</v>
          </cell>
          <cell r="AK2" t="str">
            <v>GOB</v>
          </cell>
          <cell r="AL2" t="str">
            <v>GOB</v>
          </cell>
          <cell r="AM2" t="str">
            <v>GOB</v>
          </cell>
          <cell r="AN2" t="str">
            <v>GOB</v>
          </cell>
        </row>
        <row r="3">
          <cell r="B3" t="str">
            <v>MUNICIPALITY /</v>
          </cell>
          <cell r="C3">
            <v>2021</v>
          </cell>
          <cell r="D3">
            <v>2021</v>
          </cell>
          <cell r="E3">
            <v>2020</v>
          </cell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7/1/2021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7/1/2022 to</v>
          </cell>
          <cell r="S3" t="str">
            <v>Levy</v>
          </cell>
          <cell r="U3" t="str">
            <v>Tax Levy</v>
          </cell>
          <cell r="V3">
            <v>2021</v>
          </cell>
          <cell r="W3">
            <v>2020</v>
          </cell>
          <cell r="X3">
            <v>2019</v>
          </cell>
          <cell r="Y3">
            <v>2018</v>
          </cell>
          <cell r="Z3">
            <v>2017</v>
          </cell>
          <cell r="AA3">
            <v>2016</v>
          </cell>
          <cell r="AB3">
            <v>2015</v>
          </cell>
          <cell r="AC3">
            <v>2014</v>
          </cell>
          <cell r="AD3">
            <v>2013</v>
          </cell>
          <cell r="AE3">
            <v>2012</v>
          </cell>
          <cell r="AF3">
            <v>2011</v>
          </cell>
          <cell r="AG3">
            <v>2010</v>
          </cell>
          <cell r="AH3">
            <v>2009</v>
          </cell>
          <cell r="AI3">
            <v>2008</v>
          </cell>
          <cell r="AJ3">
            <v>2007</v>
          </cell>
          <cell r="AK3">
            <v>2006</v>
          </cell>
          <cell r="AL3">
            <v>2005</v>
          </cell>
          <cell r="AM3">
            <v>2004</v>
          </cell>
          <cell r="AN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2021</v>
          </cell>
          <cell r="N4" t="str">
            <v>6/30/2022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12/31/2022</v>
          </cell>
          <cell r="S4" t="str">
            <v>Requirements</v>
          </cell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  <cell r="AE4" t="str">
            <v>TAX LEVY</v>
          </cell>
          <cell r="AF4" t="str">
            <v>TAX LEVY</v>
          </cell>
          <cell r="AG4" t="str">
            <v>TAX LEVY</v>
          </cell>
          <cell r="AH4" t="str">
            <v>TAX LEVY</v>
          </cell>
          <cell r="AI4" t="str">
            <v>TAX LEVY</v>
          </cell>
          <cell r="AJ4" t="str">
            <v>TAX LEVY</v>
          </cell>
          <cell r="AK4" t="str">
            <v>TAX LEVY</v>
          </cell>
          <cell r="AL4" t="str">
            <v>TAX LEVY</v>
          </cell>
          <cell r="AM4" t="str">
            <v>TAX LEVY</v>
          </cell>
          <cell r="AN4" t="str">
            <v>TAX LEVY</v>
          </cell>
        </row>
        <row r="5">
          <cell r="A5" t="str">
            <v>BERNALILLO COUNTY15</v>
          </cell>
          <cell r="C5">
            <v>14388619241</v>
          </cell>
          <cell r="D5">
            <v>3695039377</v>
          </cell>
          <cell r="G5">
            <v>18083658618</v>
          </cell>
          <cell r="H5">
            <v>0.96799999999999997</v>
          </cell>
          <cell r="I5">
            <v>17504981542.223999</v>
          </cell>
          <cell r="L5">
            <v>17504981542.223999</v>
          </cell>
          <cell r="M5">
            <v>22702796.129999999</v>
          </cell>
          <cell r="N5">
            <v>19342317.659999996</v>
          </cell>
          <cell r="O5">
            <v>0</v>
          </cell>
          <cell r="P5">
            <v>3360478.4700000025</v>
          </cell>
          <cell r="Q5">
            <v>2520358.8525000019</v>
          </cell>
          <cell r="R5">
            <v>24668378.969999999</v>
          </cell>
          <cell r="S5">
            <v>0</v>
          </cell>
          <cell r="U5">
            <v>22148020.117499996</v>
          </cell>
          <cell r="V5">
            <v>1.2649999999999999</v>
          </cell>
          <cell r="W5">
            <v>1.2649999999999999</v>
          </cell>
          <cell r="X5">
            <v>1.2649999999999999</v>
          </cell>
          <cell r="Y5">
            <v>1.2649999999999999</v>
          </cell>
          <cell r="Z5">
            <v>1.2649999999999999</v>
          </cell>
          <cell r="AA5">
            <v>1.2645160299059646</v>
          </cell>
          <cell r="AB5">
            <v>1.264617619346126</v>
          </cell>
          <cell r="AC5">
            <v>1.2456284724885172</v>
          </cell>
          <cell r="AD5">
            <v>0.89666853162255722</v>
          </cell>
          <cell r="AE5">
            <v>0.89710280779242724</v>
          </cell>
          <cell r="AF5">
            <v>0.55500000000000005</v>
          </cell>
          <cell r="AG5">
            <v>0.88</v>
          </cell>
          <cell r="AH5">
            <v>0.88</v>
          </cell>
          <cell r="AI5">
            <v>0.8879172608185073</v>
          </cell>
          <cell r="AJ5">
            <v>0.83</v>
          </cell>
          <cell r="AK5">
            <v>0.83</v>
          </cell>
          <cell r="AL5">
            <v>0.83</v>
          </cell>
          <cell r="AM5">
            <v>0.83</v>
          </cell>
        </row>
        <row r="6">
          <cell r="B6" t="str">
            <v>Albuquerque1</v>
          </cell>
        </row>
        <row r="7">
          <cell r="B7" t="str">
            <v>Corrales23</v>
          </cell>
        </row>
        <row r="8"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B10" t="str">
            <v>Tijeras</v>
          </cell>
        </row>
        <row r="11"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B13" t="str">
            <v>Middle Rio Grande CD</v>
          </cell>
        </row>
        <row r="14">
          <cell r="B14" t="str">
            <v>UNM Hospital</v>
          </cell>
        </row>
        <row r="16">
          <cell r="A16" t="str">
            <v>CATRON COUNTY</v>
          </cell>
        </row>
        <row r="17"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20">
          <cell r="A20" t="str">
            <v>CHAVES COUNTY</v>
          </cell>
        </row>
        <row r="21">
          <cell r="B21" t="str">
            <v>Dexter</v>
          </cell>
        </row>
        <row r="22">
          <cell r="B22" t="str">
            <v>Hagerman</v>
          </cell>
        </row>
        <row r="23">
          <cell r="B23" t="str">
            <v>Lake Arthur</v>
          </cell>
        </row>
        <row r="24">
          <cell r="B24" t="str">
            <v>Roswell</v>
          </cell>
        </row>
        <row r="25">
          <cell r="B25" t="str">
            <v>Border SWCD</v>
          </cell>
        </row>
        <row r="26">
          <cell r="B26" t="str">
            <v>Central Valley SWCD</v>
          </cell>
        </row>
        <row r="27">
          <cell r="B27" t="str">
            <v>Chaves Flood Control</v>
          </cell>
        </row>
        <row r="28">
          <cell r="B28" t="str">
            <v>Chaves SWCD</v>
          </cell>
        </row>
        <row r="29">
          <cell r="B29" t="str">
            <v>Cottonwood Walnut Creek</v>
          </cell>
        </row>
        <row r="30">
          <cell r="B30" t="str">
            <v>Hagerman/Dexter SWCD</v>
          </cell>
        </row>
        <row r="31">
          <cell r="B31" t="str">
            <v>Pecos Valley Artesian CD</v>
          </cell>
        </row>
        <row r="32">
          <cell r="B32" t="str">
            <v>Penasco SWCD</v>
          </cell>
        </row>
        <row r="33">
          <cell r="B33" t="str">
            <v>Upper Hondo SWCD</v>
          </cell>
        </row>
        <row r="35">
          <cell r="A35" t="str">
            <v>CIBOLA COUNTY</v>
          </cell>
        </row>
        <row r="36">
          <cell r="B36" t="str">
            <v>Grants</v>
          </cell>
        </row>
        <row r="37">
          <cell r="A37" t="str">
            <v>BONDS PAID OFF</v>
          </cell>
          <cell r="B37" t="str">
            <v>Milan</v>
          </cell>
        </row>
        <row r="38">
          <cell r="B38" t="str">
            <v>Cibola General Hospital</v>
          </cell>
        </row>
        <row r="39">
          <cell r="B39" t="str">
            <v>Lava SWCD</v>
          </cell>
        </row>
        <row r="40">
          <cell r="B40" t="str">
            <v>Rio San Jose Flood Control</v>
          </cell>
        </row>
        <row r="42">
          <cell r="A42" t="str">
            <v>COLFAX COUNTY</v>
          </cell>
        </row>
        <row r="43">
          <cell r="B43" t="str">
            <v>Angel Fire</v>
          </cell>
        </row>
        <row r="44">
          <cell r="B44" t="str">
            <v>Cimarron</v>
          </cell>
        </row>
        <row r="45">
          <cell r="B45" t="str">
            <v>Eagle Nest</v>
          </cell>
        </row>
        <row r="46">
          <cell r="B46" t="str">
            <v>Maxwell</v>
          </cell>
        </row>
        <row r="47">
          <cell r="B47" t="str">
            <v>Raton</v>
          </cell>
        </row>
        <row r="48">
          <cell r="B48" t="str">
            <v>Springer</v>
          </cell>
        </row>
        <row r="49">
          <cell r="B49" t="str">
            <v>Colfax General Hospital</v>
          </cell>
        </row>
        <row r="51">
          <cell r="A51" t="str">
            <v>CURRY COUNTY</v>
          </cell>
          <cell r="B51" t="str">
            <v>BONDS PAID OFF</v>
          </cell>
        </row>
        <row r="52">
          <cell r="B52" t="str">
            <v>Clovis</v>
          </cell>
        </row>
        <row r="53">
          <cell r="B53" t="str">
            <v>Grady</v>
          </cell>
        </row>
        <row r="54">
          <cell r="B54" t="str">
            <v>Melrose</v>
          </cell>
        </row>
        <row r="55">
          <cell r="B55" t="str">
            <v>Texico</v>
          </cell>
        </row>
        <row r="57">
          <cell r="A57" t="str">
            <v>DE BACA COUNTY</v>
          </cell>
        </row>
        <row r="58">
          <cell r="B58" t="str">
            <v>Fort Sumner</v>
          </cell>
        </row>
        <row r="59">
          <cell r="B59" t="str">
            <v>De Baca General Hospital</v>
          </cell>
        </row>
        <row r="61">
          <cell r="A61" t="str">
            <v>DONA ANA COUNTY</v>
          </cell>
        </row>
        <row r="62">
          <cell r="B62" t="str">
            <v>Anthony</v>
          </cell>
        </row>
        <row r="63">
          <cell r="B63" t="str">
            <v>Hatch</v>
          </cell>
        </row>
        <row r="64">
          <cell r="B64" t="str">
            <v>Las Cruces</v>
          </cell>
        </row>
        <row r="65">
          <cell r="B65" t="str">
            <v>Mesilla</v>
          </cell>
        </row>
        <row r="66">
          <cell r="B66" t="str">
            <v>Sunland Park</v>
          </cell>
        </row>
        <row r="67">
          <cell r="B67" t="str">
            <v>Dona Ana Flood Control</v>
          </cell>
        </row>
        <row r="68">
          <cell r="B68" t="str">
            <v>Las Cruces Flood Control</v>
          </cell>
        </row>
        <row r="70">
          <cell r="A70" t="str">
            <v>EDDY COUNTY</v>
          </cell>
        </row>
        <row r="71">
          <cell r="B71" t="str">
            <v>Artesia</v>
          </cell>
        </row>
        <row r="72">
          <cell r="B72" t="str">
            <v>Carlsbad</v>
          </cell>
        </row>
        <row r="73">
          <cell r="B73" t="str">
            <v>Hope</v>
          </cell>
        </row>
        <row r="74">
          <cell r="B74" t="str">
            <v>Loving</v>
          </cell>
        </row>
        <row r="75">
          <cell r="B75" t="str">
            <v>Artesia General Hospital</v>
          </cell>
        </row>
        <row r="76">
          <cell r="B76" t="str">
            <v>Carlsbad SWCD3</v>
          </cell>
        </row>
        <row r="77">
          <cell r="A77" t="str">
            <v>(calculated in Chaves)</v>
          </cell>
          <cell r="B77" t="str">
            <v>Central Valley SWCD</v>
          </cell>
        </row>
        <row r="78">
          <cell r="A78" t="str">
            <v>(calculated in Chaves)</v>
          </cell>
          <cell r="B78" t="str">
            <v>Cottonwood Walnut Creek</v>
          </cell>
        </row>
        <row r="79">
          <cell r="B79" t="str">
            <v>Hackberry Draw Watershed</v>
          </cell>
        </row>
        <row r="80">
          <cell r="A80" t="str">
            <v>(calculated in Chaves)</v>
          </cell>
          <cell r="B80" t="str">
            <v>Pecos Valley Artesian CD</v>
          </cell>
        </row>
        <row r="81">
          <cell r="A81" t="str">
            <v>(calculated in Chaves)</v>
          </cell>
          <cell r="B81" t="str">
            <v>Penasco SWCD</v>
          </cell>
        </row>
        <row r="83">
          <cell r="A83" t="str">
            <v>GRANT COUNTY5,6</v>
          </cell>
        </row>
        <row r="84">
          <cell r="B84" t="str">
            <v>Bayard</v>
          </cell>
        </row>
        <row r="85">
          <cell r="B85" t="str">
            <v>Hurley</v>
          </cell>
        </row>
        <row r="86">
          <cell r="B86" t="str">
            <v>Santa Clara</v>
          </cell>
        </row>
        <row r="87">
          <cell r="A87" t="str">
            <v>BONDS PAID OFF</v>
          </cell>
          <cell r="B87" t="str">
            <v>Silver City</v>
          </cell>
        </row>
        <row r="88">
          <cell r="B88" t="str">
            <v>Gila Watershed District</v>
          </cell>
        </row>
        <row r="90">
          <cell r="A90" t="str">
            <v>GUADALUPE COUNTY</v>
          </cell>
        </row>
        <row r="91">
          <cell r="B91" t="str">
            <v>Santa Rosa</v>
          </cell>
        </row>
        <row r="92">
          <cell r="B92" t="str">
            <v>Vaughn</v>
          </cell>
        </row>
        <row r="93">
          <cell r="B93" t="str">
            <v>Guadalupe County Hospital</v>
          </cell>
        </row>
        <row r="94">
          <cell r="B94" t="str">
            <v>Guadalupe SWCD</v>
          </cell>
        </row>
        <row r="96">
          <cell r="A96" t="str">
            <v>HARDING COUNTY</v>
          </cell>
        </row>
        <row r="97">
          <cell r="B97" t="str">
            <v>Mosquero</v>
          </cell>
        </row>
        <row r="98">
          <cell r="B98" t="str">
            <v>Roy</v>
          </cell>
        </row>
        <row r="99">
          <cell r="B99" t="str">
            <v>Mesa SWCD</v>
          </cell>
        </row>
        <row r="101">
          <cell r="A101" t="str">
            <v>HIDALGO COUNTY</v>
          </cell>
        </row>
        <row r="102">
          <cell r="B102" t="str">
            <v>Lordsburg</v>
          </cell>
        </row>
        <row r="103">
          <cell r="B103" t="str">
            <v>Virden</v>
          </cell>
        </row>
        <row r="105">
          <cell r="A105" t="str">
            <v>LEA COUNTY</v>
          </cell>
        </row>
        <row r="106">
          <cell r="B106" t="str">
            <v>Eunice</v>
          </cell>
        </row>
        <row r="107">
          <cell r="B107" t="str">
            <v>Hobbs</v>
          </cell>
        </row>
        <row r="108">
          <cell r="B108" t="str">
            <v>Jal</v>
          </cell>
        </row>
        <row r="109">
          <cell r="B109" t="str">
            <v>Lovington</v>
          </cell>
        </row>
        <row r="110">
          <cell r="B110" t="str">
            <v>Tatum</v>
          </cell>
        </row>
        <row r="111">
          <cell r="B111" t="str">
            <v>Eunice Hospital</v>
          </cell>
        </row>
        <row r="112">
          <cell r="B112" t="str">
            <v>Jal Hospital</v>
          </cell>
        </row>
        <row r="113">
          <cell r="B113" t="str">
            <v>Nor-Lea Hospital</v>
          </cell>
        </row>
        <row r="115">
          <cell r="A115" t="str">
            <v>LINCOLN COUNTY</v>
          </cell>
        </row>
        <row r="116">
          <cell r="B116" t="str">
            <v>Capitan</v>
          </cell>
        </row>
        <row r="117">
          <cell r="B117" t="str">
            <v>Carrizozo</v>
          </cell>
        </row>
        <row r="118">
          <cell r="B118" t="str">
            <v>Corona</v>
          </cell>
        </row>
        <row r="119">
          <cell r="B119" t="str">
            <v>Ruidoso7</v>
          </cell>
        </row>
        <row r="120">
          <cell r="B120" t="str">
            <v>Ruidoso Downs</v>
          </cell>
        </row>
        <row r="121">
          <cell r="B121" t="str">
            <v>Lincoln Medical Center</v>
          </cell>
        </row>
        <row r="122">
          <cell r="B122" t="str">
            <v>Rural Clinics</v>
          </cell>
        </row>
        <row r="123">
          <cell r="B123" t="str">
            <v>Alpine Sanitation District</v>
          </cell>
        </row>
        <row r="124">
          <cell r="B124" t="str">
            <v>Alto Lakes WSD</v>
          </cell>
        </row>
        <row r="125">
          <cell r="B125" t="str">
            <v>Carrizozo SWCD</v>
          </cell>
        </row>
        <row r="126">
          <cell r="A126" t="str">
            <v>(calculated in Chaves)</v>
          </cell>
          <cell r="B126" t="str">
            <v>Chaves SWCD</v>
          </cell>
        </row>
        <row r="127">
          <cell r="B127" t="str">
            <v>Claunch-Pinto SWCD</v>
          </cell>
        </row>
        <row r="128">
          <cell r="B128" t="str">
            <v>Sun Valley Sanitation Dist.</v>
          </cell>
        </row>
        <row r="129">
          <cell r="A129" t="str">
            <v>(calculated in Chaves)</v>
          </cell>
          <cell r="B129" t="str">
            <v>Upper Hondo SWCD</v>
          </cell>
        </row>
        <row r="131">
          <cell r="A131" t="str">
            <v>LOS ALAMOS COUNTY</v>
          </cell>
          <cell r="B131" t="str">
            <v>Los Alamos</v>
          </cell>
        </row>
        <row r="133">
          <cell r="A133" t="str">
            <v>LUNA COUNTY</v>
          </cell>
        </row>
        <row r="134">
          <cell r="B134" t="str">
            <v>Columbus</v>
          </cell>
        </row>
        <row r="135">
          <cell r="B135" t="str">
            <v>Deming</v>
          </cell>
        </row>
        <row r="137">
          <cell r="A137" t="str">
            <v>MCKINLEY COUNTY16</v>
          </cell>
          <cell r="B137" t="str">
            <v>BONDS PAID OFF</v>
          </cell>
        </row>
        <row r="138">
          <cell r="B138" t="str">
            <v>Gallup14</v>
          </cell>
        </row>
        <row r="139">
          <cell r="B139" t="str">
            <v>Rehoboth Christian Hospital</v>
          </cell>
        </row>
        <row r="140">
          <cell r="A140" t="str">
            <v>(calculated in Cibola)</v>
          </cell>
          <cell r="B140" t="str">
            <v>Rio San Jose Flood Control</v>
          </cell>
        </row>
        <row r="142">
          <cell r="A142" t="str">
            <v>MORA COUNTY5</v>
          </cell>
        </row>
        <row r="143">
          <cell r="B143" t="str">
            <v>Wagon Mound</v>
          </cell>
        </row>
        <row r="144">
          <cell r="B144" t="str">
            <v>Mora/Wagon Mound SWCD</v>
          </cell>
        </row>
        <row r="145">
          <cell r="B145" t="str">
            <v>Western Mora SWCD</v>
          </cell>
        </row>
        <row r="147">
          <cell r="A147" t="str">
            <v>OTERO COUNTY17</v>
          </cell>
          <cell r="B147" t="str">
            <v>BONDS PAID OFF</v>
          </cell>
        </row>
        <row r="148">
          <cell r="B148" t="str">
            <v>Alamogordo</v>
          </cell>
        </row>
        <row r="149">
          <cell r="B149" t="str">
            <v>Cloudcroft</v>
          </cell>
        </row>
        <row r="150">
          <cell r="B150" t="str">
            <v>Tularosa</v>
          </cell>
        </row>
        <row r="151">
          <cell r="A151" t="str">
            <v>(calculated in Eddy)</v>
          </cell>
          <cell r="B151" t="str">
            <v>Carlsbad SWCD3</v>
          </cell>
        </row>
        <row r="152">
          <cell r="A152" t="str">
            <v>(calculated in Chaves)</v>
          </cell>
          <cell r="B152" t="str">
            <v>Penasco SWCD</v>
          </cell>
        </row>
        <row r="153">
          <cell r="B153" t="str">
            <v>Timberon WSD</v>
          </cell>
        </row>
        <row r="155">
          <cell r="A155" t="str">
            <v>QUAY COUNTY</v>
          </cell>
        </row>
        <row r="156">
          <cell r="B156" t="str">
            <v>House</v>
          </cell>
        </row>
        <row r="157">
          <cell r="B157" t="str">
            <v>Logan</v>
          </cell>
        </row>
        <row r="158">
          <cell r="B158" t="str">
            <v>San Jon</v>
          </cell>
        </row>
        <row r="159">
          <cell r="B159" t="str">
            <v>Tucumcari</v>
          </cell>
        </row>
        <row r="160">
          <cell r="B160" t="str">
            <v>Arch Hurley CD</v>
          </cell>
        </row>
        <row r="162">
          <cell r="A162" t="str">
            <v>RIO ARRIBA COUNTY</v>
          </cell>
        </row>
        <row r="163">
          <cell r="B163" t="str">
            <v>Chama</v>
          </cell>
        </row>
        <row r="164">
          <cell r="B164" t="str">
            <v>Espanola</v>
          </cell>
        </row>
        <row r="165">
          <cell r="B165" t="str">
            <v>Rio Arriba County Hospital</v>
          </cell>
        </row>
        <row r="166">
          <cell r="B166" t="str">
            <v>Cuba SWCD</v>
          </cell>
        </row>
        <row r="167">
          <cell r="B167" t="str">
            <v>East Rio Arriba SWCD</v>
          </cell>
        </row>
        <row r="168">
          <cell r="B168" t="str">
            <v>Upper Chama SWCD</v>
          </cell>
        </row>
        <row r="170">
          <cell r="A170" t="str">
            <v>ROOSEVELT COUNTY</v>
          </cell>
        </row>
        <row r="171">
          <cell r="B171" t="str">
            <v>Causey</v>
          </cell>
        </row>
        <row r="172">
          <cell r="B172" t="str">
            <v>Dora</v>
          </cell>
        </row>
        <row r="173">
          <cell r="B173" t="str">
            <v>Elida</v>
          </cell>
        </row>
        <row r="174">
          <cell r="B174" t="str">
            <v>Floyd</v>
          </cell>
        </row>
        <row r="175">
          <cell r="B175" t="str">
            <v>Portales</v>
          </cell>
        </row>
        <row r="176">
          <cell r="A176" t="str">
            <v>(calculated in Chaves)</v>
          </cell>
          <cell r="B176" t="str">
            <v>Border SWCD</v>
          </cell>
        </row>
        <row r="178">
          <cell r="A178" t="str">
            <v>SANDOVAL COUNTY20</v>
          </cell>
        </row>
        <row r="179">
          <cell r="B179" t="str">
            <v>Bernalillo</v>
          </cell>
        </row>
        <row r="180">
          <cell r="B180" t="str">
            <v>Corrales</v>
          </cell>
        </row>
        <row r="181">
          <cell r="B181" t="str">
            <v>Cuba</v>
          </cell>
        </row>
        <row r="182">
          <cell r="B182" t="str">
            <v>Jemez Springs</v>
          </cell>
        </row>
        <row r="183">
          <cell r="B183" t="str">
            <v>Rio Rancho11</v>
          </cell>
        </row>
        <row r="184">
          <cell r="B184" t="str">
            <v>San Ysidro</v>
          </cell>
        </row>
        <row r="185">
          <cell r="A185" t="str">
            <v>(calculated in Bernalillo)</v>
          </cell>
          <cell r="B185" t="str">
            <v>UNM Hospital</v>
          </cell>
        </row>
        <row r="186">
          <cell r="A186" t="str">
            <v>BONDS PAID OFF</v>
          </cell>
          <cell r="B186" t="str">
            <v>AMAFCA</v>
          </cell>
        </row>
        <row r="187">
          <cell r="A187" t="str">
            <v>(calculated in Rio Arriba)</v>
          </cell>
          <cell r="B187" t="str">
            <v>Cuba SWCD</v>
          </cell>
        </row>
        <row r="188">
          <cell r="A188" t="str">
            <v>No GO Debt (Spec Levy)</v>
          </cell>
          <cell r="B188" t="str">
            <v>Mariposa East Pub. Impr.3</v>
          </cell>
        </row>
        <row r="189">
          <cell r="A189" t="str">
            <v>(calculated in Bernalillo)</v>
          </cell>
          <cell r="B189" t="str">
            <v>Middle Rio Grande CD</v>
          </cell>
        </row>
        <row r="190">
          <cell r="B190" t="str">
            <v>North Rancho de Placitas</v>
          </cell>
        </row>
        <row r="191">
          <cell r="B191" t="str">
            <v>Placitas Homestead</v>
          </cell>
        </row>
        <row r="192">
          <cell r="B192" t="str">
            <v>ESCAFCA18</v>
          </cell>
        </row>
        <row r="193">
          <cell r="B193" t="str">
            <v>ESCAFCA (Placitas)18</v>
          </cell>
        </row>
        <row r="194">
          <cell r="B194" t="str">
            <v>SSCAFCA12</v>
          </cell>
        </row>
        <row r="196">
          <cell r="A196" t="str">
            <v>SAN JUAN COUNTY</v>
          </cell>
        </row>
        <row r="197">
          <cell r="B197" t="str">
            <v>Aztec</v>
          </cell>
        </row>
        <row r="198">
          <cell r="B198" t="str">
            <v>Bloomfield</v>
          </cell>
        </row>
        <row r="199">
          <cell r="B199" t="str">
            <v>Farmington</v>
          </cell>
        </row>
        <row r="200">
          <cell r="B200" t="str">
            <v>Kirtland</v>
          </cell>
        </row>
        <row r="202">
          <cell r="A202" t="str">
            <v>SAN MIGUEL COUNTY</v>
          </cell>
        </row>
        <row r="203">
          <cell r="B203" t="str">
            <v>Las Vegas</v>
          </cell>
        </row>
        <row r="204">
          <cell r="B204" t="str">
            <v>Pecos</v>
          </cell>
        </row>
        <row r="205">
          <cell r="A205" t="str">
            <v>(calculated in Guadalupe)</v>
          </cell>
          <cell r="B205" t="str">
            <v>Guadalupe SWCD</v>
          </cell>
        </row>
        <row r="206">
          <cell r="A206" t="str">
            <v>(calculated in Harding)</v>
          </cell>
          <cell r="B206" t="str">
            <v>Mesa SWCD</v>
          </cell>
        </row>
        <row r="207">
          <cell r="B207" t="str">
            <v>Tierra y Montes SWCD</v>
          </cell>
        </row>
        <row r="209">
          <cell r="A209" t="str">
            <v>SANTA FE COUNTY</v>
          </cell>
        </row>
        <row r="210">
          <cell r="B210" t="str">
            <v>Edgewood25</v>
          </cell>
        </row>
        <row r="211">
          <cell r="A211" t="str">
            <v>(calculated in Rio Arriba)</v>
          </cell>
          <cell r="B211" t="str">
            <v>Espanola</v>
          </cell>
        </row>
        <row r="212">
          <cell r="B212" t="str">
            <v>Santa Fe</v>
          </cell>
        </row>
        <row r="213">
          <cell r="B213" t="str">
            <v>Edgewood SWCD</v>
          </cell>
        </row>
        <row r="214">
          <cell r="B214" t="str">
            <v>Eldorado Area WSD</v>
          </cell>
        </row>
        <row r="216">
          <cell r="A216" t="str">
            <v>SIERRA COUNTY</v>
          </cell>
        </row>
        <row r="217">
          <cell r="B217" t="str">
            <v>Elephant Butte</v>
          </cell>
        </row>
        <row r="218">
          <cell r="B218" t="str">
            <v>T or C</v>
          </cell>
        </row>
        <row r="219">
          <cell r="B219" t="str">
            <v>Williamsburg</v>
          </cell>
        </row>
        <row r="220">
          <cell r="B220" t="str">
            <v>Sierra SWCD</v>
          </cell>
        </row>
        <row r="221">
          <cell r="B221" t="str">
            <v>Underwood Watershed</v>
          </cell>
        </row>
        <row r="223">
          <cell r="A223" t="str">
            <v>SOCORRO COUNTY19</v>
          </cell>
        </row>
        <row r="224">
          <cell r="B224" t="str">
            <v>Magdalena</v>
          </cell>
        </row>
        <row r="225">
          <cell r="B225" t="str">
            <v>Socorro</v>
          </cell>
        </row>
        <row r="226">
          <cell r="B226" t="str">
            <v>Socorro General Hospital</v>
          </cell>
        </row>
        <row r="227">
          <cell r="A227" t="str">
            <v>(calculated in Lincoln)</v>
          </cell>
          <cell r="B227" t="str">
            <v>Carrizozo SWCD</v>
          </cell>
        </row>
        <row r="228">
          <cell r="A228" t="str">
            <v>(calculated in Lincoln)</v>
          </cell>
          <cell r="B228" t="str">
            <v>Claunch-Pinto SWCD</v>
          </cell>
        </row>
        <row r="229">
          <cell r="A229" t="str">
            <v>(calculated in Bernalillo)</v>
          </cell>
          <cell r="B229" t="str">
            <v>Middle Rio Grande CD</v>
          </cell>
        </row>
        <row r="230">
          <cell r="A230" t="str">
            <v>(calculated in Sierra)</v>
          </cell>
          <cell r="B230" t="str">
            <v>Sierra SWCD</v>
          </cell>
        </row>
        <row r="231">
          <cell r="B231" t="str">
            <v>Socorro SWCD</v>
          </cell>
        </row>
        <row r="233">
          <cell r="A233" t="str">
            <v>TAOS COUNTY</v>
          </cell>
        </row>
        <row r="234">
          <cell r="B234" t="str">
            <v>Questa</v>
          </cell>
        </row>
        <row r="235">
          <cell r="B235" t="str">
            <v>Red River</v>
          </cell>
        </row>
        <row r="236">
          <cell r="B236" t="str">
            <v>Taos</v>
          </cell>
        </row>
        <row r="237">
          <cell r="B237" t="str">
            <v>Taos Ski Valley</v>
          </cell>
        </row>
        <row r="238">
          <cell r="B238" t="str">
            <v>El Prado WSD</v>
          </cell>
        </row>
        <row r="239">
          <cell r="B239" t="str">
            <v>El Valle de los Ranchos SWCD</v>
          </cell>
        </row>
        <row r="240">
          <cell r="B240" t="str">
            <v>Taos SWCD</v>
          </cell>
        </row>
        <row r="242">
          <cell r="A242" t="str">
            <v>TORRANCE COUNTY</v>
          </cell>
        </row>
        <row r="243">
          <cell r="B243" t="str">
            <v>Encino</v>
          </cell>
        </row>
        <row r="244">
          <cell r="B244" t="str">
            <v>Estancia</v>
          </cell>
        </row>
        <row r="245">
          <cell r="B245" t="str">
            <v>Moriarty</v>
          </cell>
        </row>
        <row r="246">
          <cell r="B246" t="str">
            <v>Mountainair</v>
          </cell>
        </row>
        <row r="247">
          <cell r="B247" t="str">
            <v>Willard</v>
          </cell>
        </row>
        <row r="248">
          <cell r="A248" t="str">
            <v>(calculated in Lincoln)</v>
          </cell>
          <cell r="B248" t="str">
            <v>Carrizozo SWCD</v>
          </cell>
        </row>
        <row r="249">
          <cell r="A249" t="str">
            <v>(calculated in Lincoln)</v>
          </cell>
          <cell r="B249" t="str">
            <v>Claunch-Pinto SWCD</v>
          </cell>
        </row>
        <row r="250">
          <cell r="B250" t="str">
            <v>East Torrance SWCD</v>
          </cell>
        </row>
        <row r="251">
          <cell r="A251" t="str">
            <v>(calculated in Santa Fe)</v>
          </cell>
          <cell r="B251" t="str">
            <v>Edgewood SWCD</v>
          </cell>
        </row>
        <row r="253">
          <cell r="A253" t="str">
            <v>UNION COUNTY</v>
          </cell>
        </row>
        <row r="254">
          <cell r="B254" t="str">
            <v>Clayton</v>
          </cell>
        </row>
        <row r="255">
          <cell r="B255" t="str">
            <v>Des Moines</v>
          </cell>
        </row>
        <row r="256">
          <cell r="B256" t="str">
            <v>Folsom</v>
          </cell>
        </row>
        <row r="257">
          <cell r="B257" t="str">
            <v>Grenville</v>
          </cell>
        </row>
        <row r="259">
          <cell r="A259" t="str">
            <v>VALENCIA COUNTY19</v>
          </cell>
        </row>
        <row r="260">
          <cell r="B260" t="str">
            <v>Belen</v>
          </cell>
        </row>
        <row r="261">
          <cell r="B261" t="str">
            <v>Bosque Farms</v>
          </cell>
        </row>
        <row r="262">
          <cell r="B262" t="str">
            <v>Los Lunas</v>
          </cell>
        </row>
        <row r="263">
          <cell r="B263" t="str">
            <v>Peralta</v>
          </cell>
        </row>
        <row r="264">
          <cell r="B264" t="str">
            <v>Rio Communities</v>
          </cell>
        </row>
        <row r="265">
          <cell r="B265" t="str">
            <v>Valencia County Hospital</v>
          </cell>
        </row>
        <row r="266">
          <cell r="A266" t="str">
            <v>(calculated in Bernalillo)</v>
          </cell>
          <cell r="B266" t="str">
            <v>Middle Rio Grande CD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>
        <row r="5">
          <cell r="N5">
            <v>11.85</v>
          </cell>
          <cell r="U5">
            <v>1.029435898382014</v>
          </cell>
        </row>
      </sheetData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0E58-CC01-4659-8EBF-A0D71923B081}">
  <sheetPr codeName="Sheet42">
    <tabColor indexed="12"/>
  </sheetPr>
  <dimension ref="A1:N207"/>
  <sheetViews>
    <sheetView tabSelected="1" view="pageBreakPreview" topLeftCell="A100" zoomScaleNormal="100" zoomScaleSheetLayoutView="100" workbookViewId="0">
      <selection activeCell="D116" sqref="D116"/>
    </sheetView>
  </sheetViews>
  <sheetFormatPr defaultColWidth="12" defaultRowHeight="12.75" x14ac:dyDescent="0.2"/>
  <cols>
    <col min="1" max="1" width="29.42578125" style="1" customWidth="1"/>
    <col min="2" max="2" width="8.7109375" style="1" customWidth="1"/>
    <col min="3" max="3" width="20.85546875" style="1" bestFit="1" customWidth="1"/>
    <col min="4" max="4" width="20.42578125" style="1" bestFit="1" customWidth="1"/>
    <col min="5" max="5" width="18.5703125" style="1" customWidth="1"/>
    <col min="6" max="6" width="18.42578125" style="1" bestFit="1" customWidth="1"/>
    <col min="7" max="7" width="18.85546875" style="1" customWidth="1"/>
    <col min="8" max="8" width="29.42578125" style="1" customWidth="1"/>
    <col min="9" max="9" width="20.140625" style="1" bestFit="1" customWidth="1"/>
    <col min="10" max="10" width="15.85546875" style="1" customWidth="1"/>
    <col min="11" max="11" width="19.28515625" style="1" customWidth="1"/>
    <col min="12" max="16384" width="12" style="1"/>
  </cols>
  <sheetData>
    <row r="1" spans="1:11" x14ac:dyDescent="0.2">
      <c r="D1" s="2"/>
      <c r="I1" s="3"/>
    </row>
    <row r="2" spans="1:11" x14ac:dyDescent="0.2">
      <c r="D2" s="2"/>
      <c r="E2" s="2"/>
    </row>
    <row r="3" spans="1:11" x14ac:dyDescent="0.2">
      <c r="A3" s="2" t="s">
        <v>0</v>
      </c>
      <c r="D3" s="2" t="s">
        <v>225</v>
      </c>
    </row>
    <row r="5" spans="1:11" x14ac:dyDescent="0.2">
      <c r="A5" s="4"/>
      <c r="B5" s="5"/>
      <c r="C5" s="5"/>
      <c r="D5" s="5"/>
      <c r="E5" s="5"/>
      <c r="F5" s="5"/>
      <c r="G5" s="5"/>
      <c r="H5" s="6" t="s">
        <v>1</v>
      </c>
      <c r="I5" s="6" t="s">
        <v>1</v>
      </c>
    </row>
    <row r="6" spans="1:11" x14ac:dyDescent="0.2">
      <c r="A6" s="7"/>
      <c r="B6" s="8"/>
      <c r="C6" s="9" t="s">
        <v>2</v>
      </c>
      <c r="D6" s="9" t="s">
        <v>3</v>
      </c>
      <c r="E6" s="10" t="s">
        <v>4</v>
      </c>
      <c r="F6" s="10"/>
      <c r="G6" s="9" t="s">
        <v>5</v>
      </c>
      <c r="H6" s="9" t="s">
        <v>6</v>
      </c>
      <c r="I6" s="9" t="s">
        <v>7</v>
      </c>
    </row>
    <row r="7" spans="1:11" x14ac:dyDescent="0.2">
      <c r="A7" s="11" t="s">
        <v>8</v>
      </c>
      <c r="B7" s="12" t="s">
        <v>9</v>
      </c>
      <c r="C7" s="12" t="s">
        <v>10</v>
      </c>
      <c r="D7" s="12" t="s">
        <v>10</v>
      </c>
      <c r="E7" s="12" t="s">
        <v>11</v>
      </c>
      <c r="F7" s="12" t="s">
        <v>12</v>
      </c>
      <c r="G7" s="12" t="s">
        <v>11</v>
      </c>
      <c r="H7" s="12" t="s">
        <v>10</v>
      </c>
      <c r="I7" s="12" t="s">
        <v>10</v>
      </c>
    </row>
    <row r="8" spans="1:11" x14ac:dyDescent="0.2">
      <c r="A8" s="1" t="s">
        <v>13</v>
      </c>
      <c r="C8" s="13">
        <v>14425104298</v>
      </c>
      <c r="D8" s="13">
        <f>3911260935+54030305</f>
        <v>3965291240</v>
      </c>
      <c r="E8" s="13"/>
      <c r="F8" s="13"/>
      <c r="G8" s="13"/>
      <c r="H8" s="14"/>
      <c r="I8" s="15">
        <f>SUM(C8:G8)</f>
        <v>18390395538</v>
      </c>
    </row>
    <row r="9" spans="1:11" x14ac:dyDescent="0.2">
      <c r="A9" s="1" t="s">
        <v>14</v>
      </c>
      <c r="B9" s="16" t="s">
        <v>15</v>
      </c>
      <c r="C9" s="13">
        <v>11771299219</v>
      </c>
      <c r="D9" s="13">
        <f>3301904364+2591365</f>
        <v>3304495729</v>
      </c>
      <c r="E9" s="13"/>
      <c r="F9" s="13"/>
      <c r="G9" s="13"/>
      <c r="H9" s="14">
        <f>SUM(C9:G9)</f>
        <v>15075794948</v>
      </c>
      <c r="I9" s="14"/>
      <c r="J9" s="17"/>
    </row>
    <row r="10" spans="1:11" x14ac:dyDescent="0.2">
      <c r="A10" s="1" t="s">
        <v>16</v>
      </c>
      <c r="B10" s="16" t="s">
        <v>17</v>
      </c>
      <c r="C10" s="13">
        <f>356043370</f>
        <v>356043370</v>
      </c>
      <c r="D10" s="13">
        <f>43204642+289284</f>
        <v>43493926</v>
      </c>
      <c r="E10" s="13"/>
      <c r="F10" s="13"/>
      <c r="G10" s="13"/>
      <c r="H10" s="14">
        <f>SUM(C10:G10)</f>
        <v>399537296</v>
      </c>
      <c r="I10" s="14"/>
    </row>
    <row r="11" spans="1:11" x14ac:dyDescent="0.2">
      <c r="A11" s="1" t="s">
        <v>18</v>
      </c>
      <c r="B11" s="16" t="s">
        <v>19</v>
      </c>
      <c r="C11" s="13">
        <f>259635580</f>
        <v>259635580</v>
      </c>
      <c r="D11" s="13">
        <f>25246417+18481146</f>
        <v>43727563</v>
      </c>
      <c r="E11" s="13"/>
      <c r="F11" s="13"/>
      <c r="G11" s="13"/>
      <c r="H11" s="14">
        <f>SUM(C11:G11)</f>
        <v>303363143</v>
      </c>
      <c r="I11" s="14"/>
      <c r="K11" s="1" t="s">
        <v>20</v>
      </c>
    </row>
    <row r="12" spans="1:11" x14ac:dyDescent="0.2">
      <c r="A12" s="1" t="s">
        <v>21</v>
      </c>
      <c r="B12" s="16" t="s">
        <v>22</v>
      </c>
      <c r="C12" s="13">
        <v>9689790</v>
      </c>
      <c r="D12" s="13">
        <v>5197876</v>
      </c>
      <c r="E12" s="13"/>
      <c r="F12" s="13"/>
      <c r="G12" s="13"/>
      <c r="H12" s="14">
        <f>SUM(C12:G12)</f>
        <v>14887666</v>
      </c>
      <c r="I12" s="14"/>
      <c r="J12" s="1" t="s">
        <v>23</v>
      </c>
      <c r="K12" s="1" t="s">
        <v>24</v>
      </c>
    </row>
    <row r="13" spans="1:11" x14ac:dyDescent="0.2">
      <c r="A13" s="1" t="s">
        <v>25</v>
      </c>
      <c r="B13" s="16" t="s">
        <v>224</v>
      </c>
      <c r="C13" s="13">
        <f>0</f>
        <v>0</v>
      </c>
      <c r="D13" s="13">
        <f>10408</f>
        <v>10408</v>
      </c>
      <c r="E13" s="13"/>
      <c r="F13" s="13"/>
      <c r="G13" s="13"/>
      <c r="H13" s="14">
        <f>SUM(C13:G13)</f>
        <v>10408</v>
      </c>
      <c r="I13" s="14"/>
      <c r="J13" s="17">
        <f>H13+H137+H152+H153</f>
        <v>171816286</v>
      </c>
      <c r="K13" s="18">
        <f>H13/$J$13</f>
        <v>6.0576329766550767E-5</v>
      </c>
    </row>
    <row r="14" spans="1:11" x14ac:dyDescent="0.2">
      <c r="B14" s="16"/>
      <c r="C14" s="13"/>
      <c r="D14" s="13"/>
      <c r="E14" s="13"/>
      <c r="F14" s="13"/>
      <c r="G14" s="13"/>
      <c r="H14" s="14"/>
      <c r="I14" s="14"/>
      <c r="J14" s="18"/>
    </row>
    <row r="15" spans="1:11" x14ac:dyDescent="0.2">
      <c r="C15" s="13"/>
      <c r="D15" s="13"/>
      <c r="E15" s="13"/>
      <c r="F15" s="13"/>
      <c r="G15" s="13"/>
      <c r="H15" s="14"/>
      <c r="I15" s="14"/>
    </row>
    <row r="16" spans="1:11" x14ac:dyDescent="0.2">
      <c r="A16" s="1" t="s">
        <v>26</v>
      </c>
      <c r="C16" s="13">
        <f>85826310</f>
        <v>85826310</v>
      </c>
      <c r="D16" s="13">
        <f>49296183+1568744</f>
        <v>50864927</v>
      </c>
      <c r="E16" s="13"/>
      <c r="F16" s="13"/>
      <c r="G16" s="13"/>
      <c r="H16" s="15"/>
      <c r="I16" s="15">
        <f>SUM(C16:G16)</f>
        <v>136691237</v>
      </c>
    </row>
    <row r="17" spans="1:11" x14ac:dyDescent="0.2">
      <c r="A17" s="1" t="s">
        <v>27</v>
      </c>
      <c r="B17" s="16" t="s">
        <v>28</v>
      </c>
      <c r="C17" s="13">
        <f>3059686</f>
        <v>3059686</v>
      </c>
      <c r="D17" s="13">
        <f>3535176+205</f>
        <v>3535381</v>
      </c>
      <c r="E17" s="13"/>
      <c r="F17" s="13"/>
      <c r="G17" s="13"/>
      <c r="H17" s="15">
        <f>SUM(C17:G17)</f>
        <v>6595067</v>
      </c>
      <c r="I17" s="15"/>
    </row>
    <row r="18" spans="1:11" x14ac:dyDescent="0.2">
      <c r="C18" s="13"/>
      <c r="D18" s="13"/>
      <c r="E18" s="13"/>
      <c r="F18" s="13"/>
      <c r="G18" s="13"/>
      <c r="H18" s="14"/>
      <c r="I18" s="14"/>
    </row>
    <row r="19" spans="1:11" x14ac:dyDescent="0.2">
      <c r="A19" s="1" t="s">
        <v>29</v>
      </c>
      <c r="C19" s="13">
        <f>749568706</f>
        <v>749568706</v>
      </c>
      <c r="D19" s="13">
        <f>568648817</f>
        <v>568648817</v>
      </c>
      <c r="E19" s="13">
        <f>[1]Input!E130+[1]Input!E134+[1]Input!E138+[1]Input!E142+[1]Input!E146+[1]Input!E150</f>
        <v>24815889.849999998</v>
      </c>
      <c r="F19" s="13">
        <f>[1]Input!E131+[1]Input!E135+[1]Input!E139+[1]Input!E143+[1]Input!E147+[1]Input!E151</f>
        <v>5967249.79</v>
      </c>
      <c r="G19" s="13"/>
      <c r="H19" s="14"/>
      <c r="I19" s="14">
        <f>SUM(C19:G19)</f>
        <v>1349000662.6399999</v>
      </c>
      <c r="J19" s="17"/>
    </row>
    <row r="20" spans="1:11" x14ac:dyDescent="0.2">
      <c r="A20" s="1" t="s">
        <v>30</v>
      </c>
      <c r="B20" s="16" t="s">
        <v>31</v>
      </c>
      <c r="C20" s="13">
        <f>9217160</f>
        <v>9217160</v>
      </c>
      <c r="D20" s="13">
        <f>3444841</f>
        <v>3444841</v>
      </c>
      <c r="E20" s="13"/>
      <c r="F20" s="13"/>
      <c r="G20" s="13"/>
      <c r="H20" s="14">
        <f>SUM(C20:G20)</f>
        <v>12662001</v>
      </c>
      <c r="I20" s="14"/>
    </row>
    <row r="21" spans="1:11" x14ac:dyDescent="0.2">
      <c r="A21" s="1" t="s">
        <v>32</v>
      </c>
      <c r="B21" s="16" t="s">
        <v>33</v>
      </c>
      <c r="C21" s="13">
        <f>5288718</f>
        <v>5288718</v>
      </c>
      <c r="D21" s="13">
        <f>2409981</f>
        <v>2409981</v>
      </c>
      <c r="E21" s="13"/>
      <c r="F21" s="13"/>
      <c r="G21" s="13"/>
      <c r="H21" s="14">
        <f>SUM(C21:G21)</f>
        <v>7698699</v>
      </c>
      <c r="I21" s="14"/>
    </row>
    <row r="22" spans="1:11" x14ac:dyDescent="0.2">
      <c r="A22" s="1" t="s">
        <v>34</v>
      </c>
      <c r="B22" s="16" t="s">
        <v>35</v>
      </c>
      <c r="C22" s="13">
        <f>1874922</f>
        <v>1874922</v>
      </c>
      <c r="D22" s="13">
        <f>1397015</f>
        <v>1397015</v>
      </c>
      <c r="E22" s="13"/>
      <c r="F22" s="13"/>
      <c r="G22" s="13"/>
      <c r="H22" s="14">
        <f>SUM(C22:G22)</f>
        <v>3271937</v>
      </c>
      <c r="I22" s="14"/>
    </row>
    <row r="23" spans="1:11" x14ac:dyDescent="0.2">
      <c r="A23" s="1" t="s">
        <v>36</v>
      </c>
      <c r="B23" s="16" t="s">
        <v>28</v>
      </c>
      <c r="C23" s="13">
        <f>542881774</f>
        <v>542881774</v>
      </c>
      <c r="D23" s="13">
        <f>251424682</f>
        <v>251424682</v>
      </c>
      <c r="E23" s="13"/>
      <c r="F23" s="13"/>
      <c r="G23" s="13"/>
      <c r="H23" s="14">
        <f>SUM(C23:G23)</f>
        <v>794306456</v>
      </c>
      <c r="I23" s="14"/>
    </row>
    <row r="24" spans="1:11" x14ac:dyDescent="0.2">
      <c r="C24" s="13"/>
      <c r="D24" s="13"/>
      <c r="E24" s="13"/>
      <c r="F24" s="13"/>
      <c r="G24" s="13"/>
      <c r="H24" s="14"/>
      <c r="I24" s="14"/>
    </row>
    <row r="25" spans="1:11" x14ac:dyDescent="0.2">
      <c r="A25" s="1" t="s">
        <v>37</v>
      </c>
      <c r="C25" s="13">
        <f>154072585</f>
        <v>154072585</v>
      </c>
      <c r="D25" s="13">
        <f>203449343</f>
        <v>203449343</v>
      </c>
      <c r="E25" s="13"/>
      <c r="F25" s="13"/>
      <c r="G25" s="13"/>
      <c r="H25" s="14"/>
      <c r="I25" s="14">
        <f>SUM(C25:G25)</f>
        <v>357521928</v>
      </c>
    </row>
    <row r="26" spans="1:11" x14ac:dyDescent="0.2">
      <c r="A26" s="1" t="s">
        <v>38</v>
      </c>
      <c r="B26" s="16" t="s">
        <v>39</v>
      </c>
      <c r="C26" s="13">
        <f>77560073</f>
        <v>77560073</v>
      </c>
      <c r="D26" s="13">
        <f>54569478</f>
        <v>54569478</v>
      </c>
      <c r="E26" s="13"/>
      <c r="F26" s="13"/>
      <c r="G26" s="13"/>
      <c r="H26" s="14">
        <f>SUM(C26:G26)</f>
        <v>132129551</v>
      </c>
      <c r="I26" s="14"/>
    </row>
    <row r="27" spans="1:11" x14ac:dyDescent="0.2">
      <c r="A27" s="1" t="s">
        <v>40</v>
      </c>
      <c r="B27" s="16" t="s">
        <v>41</v>
      </c>
      <c r="C27" s="13">
        <f>11821183</f>
        <v>11821183</v>
      </c>
      <c r="D27" s="13">
        <f>36125196</f>
        <v>36125196</v>
      </c>
      <c r="E27" s="13"/>
      <c r="F27" s="13"/>
      <c r="G27" s="13"/>
      <c r="H27" s="14">
        <f>SUM(C27:G27)</f>
        <v>47946379</v>
      </c>
      <c r="I27" s="14"/>
    </row>
    <row r="28" spans="1:11" x14ac:dyDescent="0.2">
      <c r="C28" s="13"/>
      <c r="D28" s="13"/>
      <c r="E28" s="13"/>
      <c r="F28" s="13"/>
      <c r="G28" s="13"/>
      <c r="H28" s="14"/>
      <c r="I28" s="14"/>
    </row>
    <row r="29" spans="1:11" x14ac:dyDescent="0.2">
      <c r="A29" s="1" t="s">
        <v>42</v>
      </c>
      <c r="C29" s="13">
        <f>427028869</f>
        <v>427028869</v>
      </c>
      <c r="D29" s="13">
        <f>220141437</f>
        <v>220141437</v>
      </c>
      <c r="E29" s="13">
        <f>[1]Input!E222+[1]Input!E226</f>
        <v>12877698.539999999</v>
      </c>
      <c r="F29" s="13">
        <f>[1]Input!E223+[1]Input!E227</f>
        <v>2543711.7800000003</v>
      </c>
      <c r="G29" s="13"/>
      <c r="H29" s="14"/>
      <c r="I29" s="14">
        <f>SUM(C29:G29)</f>
        <v>662591716.31999993</v>
      </c>
      <c r="J29" s="17"/>
    </row>
    <row r="30" spans="1:11" x14ac:dyDescent="0.2">
      <c r="A30" s="1" t="s">
        <v>43</v>
      </c>
      <c r="B30" s="16" t="s">
        <v>44</v>
      </c>
      <c r="C30" s="13">
        <f>224458440</f>
        <v>224458440</v>
      </c>
      <c r="D30" s="13">
        <f>50968050</f>
        <v>50968050</v>
      </c>
      <c r="E30" s="13"/>
      <c r="F30" s="13"/>
      <c r="G30" s="13"/>
      <c r="H30" s="14">
        <f t="shared" ref="H30:H35" si="0">SUM(C30:G30)</f>
        <v>275426490</v>
      </c>
      <c r="I30" s="14"/>
    </row>
    <row r="31" spans="1:11" x14ac:dyDescent="0.2">
      <c r="A31" s="1" t="s">
        <v>45</v>
      </c>
      <c r="B31" s="16" t="s">
        <v>39</v>
      </c>
      <c r="C31" s="13">
        <f>9887892</f>
        <v>9887892</v>
      </c>
      <c r="D31" s="13">
        <f>4755492</f>
        <v>4755492</v>
      </c>
      <c r="E31" s="13"/>
      <c r="F31" s="13"/>
      <c r="G31" s="13"/>
      <c r="H31" s="14">
        <f t="shared" si="0"/>
        <v>14643384</v>
      </c>
      <c r="I31" s="14"/>
      <c r="K31" s="19"/>
    </row>
    <row r="32" spans="1:11" x14ac:dyDescent="0.2">
      <c r="A32" s="1" t="s">
        <v>46</v>
      </c>
      <c r="B32" s="16" t="s">
        <v>41</v>
      </c>
      <c r="C32" s="13">
        <f>12976249</f>
        <v>12976249</v>
      </c>
      <c r="D32" s="13">
        <f>6573466</f>
        <v>6573466</v>
      </c>
      <c r="E32" s="13"/>
      <c r="F32" s="13"/>
      <c r="G32" s="13"/>
      <c r="H32" s="14">
        <f t="shared" si="0"/>
        <v>19549715</v>
      </c>
      <c r="I32" s="14"/>
    </row>
    <row r="33" spans="1:9" x14ac:dyDescent="0.2">
      <c r="A33" s="1" t="s">
        <v>47</v>
      </c>
      <c r="B33" s="16" t="s">
        <v>48</v>
      </c>
      <c r="C33" s="13">
        <f>1657655</f>
        <v>1657655</v>
      </c>
      <c r="D33" s="13">
        <f>1035928</f>
        <v>1035928</v>
      </c>
      <c r="E33" s="13"/>
      <c r="F33" s="13"/>
      <c r="G33" s="13"/>
      <c r="H33" s="14">
        <f t="shared" si="0"/>
        <v>2693583</v>
      </c>
      <c r="I33" s="14"/>
    </row>
    <row r="34" spans="1:9" x14ac:dyDescent="0.2">
      <c r="A34" s="1" t="s">
        <v>49</v>
      </c>
      <c r="B34" s="16" t="s">
        <v>50</v>
      </c>
      <c r="C34" s="13">
        <f>61948542</f>
        <v>61948542</v>
      </c>
      <c r="D34" s="13">
        <f>35726804</f>
        <v>35726804</v>
      </c>
      <c r="E34" s="13"/>
      <c r="F34" s="13"/>
      <c r="G34" s="13"/>
      <c r="H34" s="14">
        <f t="shared" si="0"/>
        <v>97675346</v>
      </c>
      <c r="I34" s="14"/>
    </row>
    <row r="35" spans="1:9" x14ac:dyDescent="0.2">
      <c r="A35" s="1" t="s">
        <v>51</v>
      </c>
      <c r="B35" s="16" t="s">
        <v>52</v>
      </c>
      <c r="C35" s="13">
        <f>8035240</f>
        <v>8035240</v>
      </c>
      <c r="D35" s="13">
        <f>3616191</f>
        <v>3616191</v>
      </c>
      <c r="E35" s="13"/>
      <c r="F35" s="13"/>
      <c r="G35" s="13"/>
      <c r="H35" s="14">
        <f t="shared" si="0"/>
        <v>11651431</v>
      </c>
      <c r="I35" s="14"/>
    </row>
    <row r="36" spans="1:9" x14ac:dyDescent="0.2">
      <c r="C36" s="13"/>
      <c r="D36" s="13"/>
      <c r="E36" s="13"/>
      <c r="F36" s="13"/>
      <c r="G36" s="13"/>
      <c r="H36" s="14"/>
      <c r="I36" s="14"/>
    </row>
    <row r="37" spans="1:9" x14ac:dyDescent="0.2">
      <c r="A37" s="1" t="s">
        <v>53</v>
      </c>
      <c r="C37" s="13">
        <f>626793441</f>
        <v>626793441</v>
      </c>
      <c r="D37" s="13">
        <f>340045606+32698930</f>
        <v>372744536</v>
      </c>
      <c r="E37" s="13"/>
      <c r="F37" s="13"/>
      <c r="G37" s="13"/>
      <c r="H37" s="14"/>
      <c r="I37" s="14">
        <f>SUM(C37:G37)</f>
        <v>999537977</v>
      </c>
    </row>
    <row r="38" spans="1:9" x14ac:dyDescent="0.2">
      <c r="A38" s="1" t="s">
        <v>54</v>
      </c>
      <c r="B38" s="16" t="s">
        <v>28</v>
      </c>
      <c r="C38" s="13">
        <f>504208182</f>
        <v>504208182</v>
      </c>
      <c r="D38" s="13">
        <f>176750715+39686</f>
        <v>176790401</v>
      </c>
      <c r="E38" s="13"/>
      <c r="F38" s="13"/>
      <c r="G38" s="13"/>
      <c r="H38" s="14">
        <f>SUM(C38:G38)</f>
        <v>680998583</v>
      </c>
      <c r="I38" s="14"/>
    </row>
    <row r="39" spans="1:9" x14ac:dyDescent="0.2">
      <c r="A39" s="1" t="s">
        <v>55</v>
      </c>
      <c r="B39" s="16" t="s">
        <v>56</v>
      </c>
      <c r="C39" s="13">
        <f>610729</f>
        <v>610729</v>
      </c>
      <c r="D39" s="13">
        <f>133412</f>
        <v>133412</v>
      </c>
      <c r="E39" s="13"/>
      <c r="F39" s="13"/>
      <c r="G39" s="13"/>
      <c r="H39" s="14">
        <f>SUM(C39:G39)</f>
        <v>744141</v>
      </c>
      <c r="I39" s="14"/>
    </row>
    <row r="40" spans="1:9" x14ac:dyDescent="0.2">
      <c r="A40" s="1" t="s">
        <v>57</v>
      </c>
      <c r="B40" s="16" t="s">
        <v>15</v>
      </c>
      <c r="C40" s="13">
        <f>4783918</f>
        <v>4783918</v>
      </c>
      <c r="D40" s="13">
        <f>3461514+5190</f>
        <v>3466704</v>
      </c>
      <c r="E40" s="13"/>
      <c r="F40" s="13"/>
      <c r="G40" s="13"/>
      <c r="H40" s="14">
        <f>SUM(C40:G40)</f>
        <v>8250622</v>
      </c>
      <c r="I40" s="14"/>
    </row>
    <row r="41" spans="1:9" x14ac:dyDescent="0.2">
      <c r="A41" s="1" t="s">
        <v>58</v>
      </c>
      <c r="B41" s="16" t="s">
        <v>59</v>
      </c>
      <c r="C41" s="13">
        <v>5336028</v>
      </c>
      <c r="D41" s="13">
        <f>2918644</f>
        <v>2918644</v>
      </c>
      <c r="E41" s="13"/>
      <c r="F41" s="13"/>
      <c r="G41" s="13"/>
      <c r="H41" s="14">
        <f>SUM(C41:G41)</f>
        <v>8254672</v>
      </c>
      <c r="I41" s="14"/>
    </row>
    <row r="42" spans="1:9" x14ac:dyDescent="0.2">
      <c r="C42" s="13"/>
      <c r="D42" s="13"/>
      <c r="E42" s="13"/>
      <c r="F42" s="13"/>
      <c r="G42" s="13"/>
      <c r="H42" s="14"/>
      <c r="I42" s="14"/>
    </row>
    <row r="43" spans="1:9" x14ac:dyDescent="0.2">
      <c r="A43" s="1" t="s">
        <v>60</v>
      </c>
      <c r="C43" s="13">
        <f>18402908</f>
        <v>18402908</v>
      </c>
      <c r="D43" s="13">
        <f>77547086</f>
        <v>77547086</v>
      </c>
      <c r="E43" s="13"/>
      <c r="F43" s="13"/>
      <c r="G43" s="13"/>
      <c r="H43" s="14"/>
      <c r="I43" s="14">
        <f>SUM(C43:G43)</f>
        <v>95949994</v>
      </c>
    </row>
    <row r="44" spans="1:9" x14ac:dyDescent="0.2">
      <c r="A44" s="1" t="s">
        <v>61</v>
      </c>
      <c r="B44" s="16" t="s">
        <v>35</v>
      </c>
      <c r="C44" s="13">
        <f>7052553</f>
        <v>7052553</v>
      </c>
      <c r="D44" s="13">
        <f>6727825</f>
        <v>6727825</v>
      </c>
      <c r="E44" s="13"/>
      <c r="F44" s="13"/>
      <c r="G44" s="13"/>
      <c r="H44" s="14">
        <f>SUM(C44:G44)</f>
        <v>13780378</v>
      </c>
      <c r="I44" s="14"/>
    </row>
    <row r="45" spans="1:9" ht="15.75" customHeight="1" x14ac:dyDescent="0.2">
      <c r="C45" s="13"/>
      <c r="D45" s="13"/>
      <c r="E45" s="13"/>
      <c r="F45" s="13"/>
      <c r="G45" s="13"/>
      <c r="H45" s="14"/>
      <c r="I45" s="14"/>
    </row>
    <row r="46" spans="1:9" x14ac:dyDescent="0.2">
      <c r="A46" s="1" t="s">
        <v>62</v>
      </c>
      <c r="C46" s="13">
        <f>3522638991</f>
        <v>3522638991</v>
      </c>
      <c r="D46" s="13">
        <f>1370591981+42329944</f>
        <v>1412921925</v>
      </c>
      <c r="E46" s="13"/>
      <c r="F46" s="13"/>
      <c r="G46" s="13"/>
      <c r="H46" s="14"/>
      <c r="I46" s="14">
        <f>SUM(C46:G46)</f>
        <v>4935560916</v>
      </c>
    </row>
    <row r="47" spans="1:9" x14ac:dyDescent="0.2">
      <c r="A47" s="1" t="s">
        <v>63</v>
      </c>
      <c r="B47" s="16" t="s">
        <v>59</v>
      </c>
      <c r="C47" s="13">
        <f>1895030170</f>
        <v>1895030170</v>
      </c>
      <c r="D47" s="13">
        <f>734641148+111415</f>
        <v>734752563</v>
      </c>
      <c r="E47" s="13"/>
      <c r="F47" s="13"/>
      <c r="G47" s="13"/>
      <c r="H47" s="14">
        <f>SUM(C47:G47)</f>
        <v>2629782733</v>
      </c>
      <c r="I47" s="14"/>
    </row>
    <row r="48" spans="1:9" x14ac:dyDescent="0.2">
      <c r="A48" s="1" t="s">
        <v>64</v>
      </c>
      <c r="B48" s="16" t="s">
        <v>50</v>
      </c>
      <c r="C48" s="13">
        <f>10014351</f>
        <v>10014351</v>
      </c>
      <c r="D48" s="13">
        <f>12836117+218856</f>
        <v>13054973</v>
      </c>
      <c r="E48" s="13"/>
      <c r="F48" s="13"/>
      <c r="G48" s="13"/>
      <c r="H48" s="14">
        <f>SUM(C48:G48)</f>
        <v>23069324</v>
      </c>
      <c r="I48" s="14"/>
    </row>
    <row r="49" spans="1:10" x14ac:dyDescent="0.2">
      <c r="A49" s="1" t="s">
        <v>65</v>
      </c>
      <c r="B49" s="16" t="s">
        <v>66</v>
      </c>
      <c r="C49" s="13">
        <f>62227449</f>
        <v>62227449</v>
      </c>
      <c r="D49" s="13">
        <f>10817041+872366</f>
        <v>11689407</v>
      </c>
      <c r="E49" s="13"/>
      <c r="F49" s="13"/>
      <c r="G49" s="13"/>
      <c r="H49" s="14">
        <f>SUM(C49:G49)</f>
        <v>73916856</v>
      </c>
      <c r="I49" s="14"/>
    </row>
    <row r="50" spans="1:10" x14ac:dyDescent="0.2">
      <c r="A50" s="1" t="s">
        <v>67</v>
      </c>
      <c r="B50" s="16" t="s">
        <v>68</v>
      </c>
      <c r="C50" s="13">
        <f>202906903</f>
        <v>202906903</v>
      </c>
      <c r="D50" s="13">
        <f>104651028+245391</f>
        <v>104896419</v>
      </c>
      <c r="E50" s="13"/>
      <c r="F50" s="13"/>
      <c r="G50" s="13"/>
      <c r="H50" s="14">
        <f>SUM(C50:G50)</f>
        <v>307803322</v>
      </c>
      <c r="I50" s="14"/>
    </row>
    <row r="51" spans="1:10" x14ac:dyDescent="0.2">
      <c r="A51" s="20"/>
      <c r="B51" s="21"/>
      <c r="C51" s="22"/>
      <c r="D51" s="22"/>
      <c r="E51" s="22"/>
      <c r="F51" s="22"/>
      <c r="G51" s="22"/>
      <c r="H51" s="6" t="s">
        <v>1</v>
      </c>
      <c r="I51" s="6" t="s">
        <v>1</v>
      </c>
    </row>
    <row r="52" spans="1:10" x14ac:dyDescent="0.2">
      <c r="A52" s="23"/>
      <c r="B52" s="10"/>
      <c r="C52" s="24" t="s">
        <v>2</v>
      </c>
      <c r="D52" s="24" t="s">
        <v>3</v>
      </c>
      <c r="E52" s="2" t="s">
        <v>4</v>
      </c>
      <c r="F52" s="2"/>
      <c r="G52" s="24" t="s">
        <v>5</v>
      </c>
      <c r="H52" s="9" t="s">
        <v>6</v>
      </c>
      <c r="I52" s="9" t="s">
        <v>7</v>
      </c>
    </row>
    <row r="53" spans="1:10" x14ac:dyDescent="0.2">
      <c r="A53" s="11" t="s">
        <v>8</v>
      </c>
      <c r="B53" s="12" t="s">
        <v>9</v>
      </c>
      <c r="C53" s="25" t="s">
        <v>10</v>
      </c>
      <c r="D53" s="25" t="s">
        <v>10</v>
      </c>
      <c r="E53" s="25" t="s">
        <v>11</v>
      </c>
      <c r="F53" s="25" t="s">
        <v>12</v>
      </c>
      <c r="G53" s="25" t="s">
        <v>11</v>
      </c>
      <c r="H53" s="12" t="s">
        <v>10</v>
      </c>
      <c r="I53" s="12" t="s">
        <v>10</v>
      </c>
    </row>
    <row r="54" spans="1:10" s="16" customFormat="1" x14ac:dyDescent="0.2">
      <c r="A54" s="26" t="s">
        <v>69</v>
      </c>
      <c r="B54" s="16">
        <v>18</v>
      </c>
      <c r="C54" s="27">
        <f>58091100</f>
        <v>58091100</v>
      </c>
      <c r="D54" s="27">
        <f>20822082+14993</f>
        <v>20837075</v>
      </c>
      <c r="E54" s="27"/>
      <c r="F54" s="27"/>
      <c r="G54" s="27"/>
      <c r="H54" s="14">
        <f>SUM(C54:G54)</f>
        <v>78928175</v>
      </c>
      <c r="I54" s="27"/>
    </row>
    <row r="55" spans="1:10" s="16" customFormat="1" x14ac:dyDescent="0.2">
      <c r="A55" s="26"/>
      <c r="C55" s="28"/>
      <c r="D55" s="28"/>
      <c r="E55" s="27"/>
      <c r="F55" s="27"/>
      <c r="G55" s="27"/>
      <c r="H55" s="14"/>
      <c r="I55" s="27"/>
    </row>
    <row r="56" spans="1:10" x14ac:dyDescent="0.2">
      <c r="A56" s="1" t="s">
        <v>70</v>
      </c>
      <c r="C56" s="13">
        <f>892077661</f>
        <v>892077661</v>
      </c>
      <c r="D56" s="13">
        <f>2346860156</f>
        <v>2346860156</v>
      </c>
      <c r="E56" s="13">
        <f>[1]Input!F379</f>
        <v>2979294090.0500002</v>
      </c>
      <c r="F56" s="13">
        <f>[1]Input!F380</f>
        <v>694470017.08999991</v>
      </c>
      <c r="G56" s="13"/>
      <c r="H56" s="14"/>
      <c r="I56" s="14">
        <f>SUM(C56:G56)</f>
        <v>6912701924.1400003</v>
      </c>
      <c r="J56" s="17"/>
    </row>
    <row r="57" spans="1:10" x14ac:dyDescent="0.2">
      <c r="A57" s="1" t="s">
        <v>71</v>
      </c>
      <c r="B57" s="16" t="s">
        <v>68</v>
      </c>
      <c r="C57" s="13">
        <f>174608407</f>
        <v>174608407</v>
      </c>
      <c r="D57" s="13">
        <f>254003410</f>
        <v>254003410</v>
      </c>
      <c r="E57" s="46">
        <f>[1]Input!F373</f>
        <v>-227.95</v>
      </c>
      <c r="F57" s="13">
        <f>[1]Input!F374</f>
        <v>45.01</v>
      </c>
      <c r="G57" s="13"/>
      <c r="H57" s="47">
        <f>SUM(C57:G57)</f>
        <v>428611634.06</v>
      </c>
      <c r="I57" s="14"/>
      <c r="J57" s="17"/>
    </row>
    <row r="58" spans="1:10" x14ac:dyDescent="0.2">
      <c r="A58" s="1" t="s">
        <v>72</v>
      </c>
      <c r="B58" s="16" t="s">
        <v>73</v>
      </c>
      <c r="C58" s="13">
        <f>462918896</f>
        <v>462918896</v>
      </c>
      <c r="D58" s="13">
        <f>273308327</f>
        <v>273308327</v>
      </c>
      <c r="E58" s="13">
        <f>[1]Input!F363</f>
        <v>2462595.6</v>
      </c>
      <c r="F58" s="13">
        <f>[1]Input!F364</f>
        <v>511002.3</v>
      </c>
      <c r="G58" s="13"/>
      <c r="H58" s="14">
        <f>SUM(C58:G58)</f>
        <v>739200820.89999998</v>
      </c>
      <c r="I58" s="14"/>
      <c r="J58" s="17"/>
    </row>
    <row r="59" spans="1:10" x14ac:dyDescent="0.2">
      <c r="A59" s="1" t="s">
        <v>74</v>
      </c>
      <c r="B59" s="16" t="s">
        <v>75</v>
      </c>
      <c r="C59" s="13">
        <f>804789</f>
        <v>804789</v>
      </c>
      <c r="D59" s="13">
        <f>189016</f>
        <v>189016</v>
      </c>
      <c r="E59" s="13"/>
      <c r="F59" s="13"/>
      <c r="G59" s="13"/>
      <c r="H59" s="14">
        <f>SUM(C59:G59)</f>
        <v>993805</v>
      </c>
      <c r="I59" s="14"/>
    </row>
    <row r="60" spans="1:10" x14ac:dyDescent="0.2">
      <c r="A60" s="1" t="s">
        <v>76</v>
      </c>
      <c r="B60" s="16" t="s">
        <v>77</v>
      </c>
      <c r="C60" s="13">
        <f>9732150</f>
        <v>9732150</v>
      </c>
      <c r="D60" s="13">
        <f>7910513</f>
        <v>7910513</v>
      </c>
      <c r="E60" s="13"/>
      <c r="F60" s="13"/>
      <c r="G60" s="13"/>
      <c r="H60" s="14">
        <f>SUM(C60:G60)</f>
        <v>17642663</v>
      </c>
      <c r="I60" s="14"/>
    </row>
    <row r="61" spans="1:10" x14ac:dyDescent="0.2">
      <c r="C61" s="13"/>
      <c r="D61" s="13"/>
      <c r="E61" s="13"/>
      <c r="F61" s="13"/>
      <c r="G61" s="13"/>
      <c r="H61" s="14"/>
      <c r="I61" s="14"/>
    </row>
    <row r="62" spans="1:10" x14ac:dyDescent="0.2">
      <c r="A62" s="1" t="s">
        <v>78</v>
      </c>
      <c r="C62" s="13">
        <f>469151963</f>
        <v>469151963</v>
      </c>
      <c r="D62" s="13">
        <f>206738196</f>
        <v>206738196</v>
      </c>
      <c r="E62" s="13"/>
      <c r="F62" s="13"/>
      <c r="G62" s="13">
        <f>[1]Input!E409+[1]Input!E412</f>
        <v>126072270</v>
      </c>
      <c r="H62" s="14"/>
      <c r="I62" s="14">
        <f>SUM(C62:G62)</f>
        <v>801962429</v>
      </c>
      <c r="J62" s="17"/>
    </row>
    <row r="63" spans="1:10" x14ac:dyDescent="0.2">
      <c r="A63" s="1" t="s">
        <v>79</v>
      </c>
      <c r="B63" s="16" t="s">
        <v>80</v>
      </c>
      <c r="C63" s="13">
        <f>17509838</f>
        <v>17509838</v>
      </c>
      <c r="D63" s="13">
        <f>4228557</f>
        <v>4228557</v>
      </c>
      <c r="E63" s="13"/>
      <c r="F63" s="13"/>
      <c r="G63" s="13"/>
      <c r="H63" s="14">
        <f>SUM(C63:G63)</f>
        <v>21738395</v>
      </c>
      <c r="I63" s="14"/>
    </row>
    <row r="64" spans="1:10" x14ac:dyDescent="0.2">
      <c r="A64" s="1" t="s">
        <v>81</v>
      </c>
      <c r="B64" s="16" t="s">
        <v>82</v>
      </c>
      <c r="C64" s="13">
        <f>11066114</f>
        <v>11066114</v>
      </c>
      <c r="D64" s="13">
        <f>1652318</f>
        <v>1652318</v>
      </c>
      <c r="E64" s="13"/>
      <c r="F64" s="13"/>
      <c r="G64" s="13"/>
      <c r="H64" s="14">
        <f>SUM(C64:G64)</f>
        <v>12718432</v>
      </c>
      <c r="I64" s="14"/>
    </row>
    <row r="65" spans="1:10" x14ac:dyDescent="0.2">
      <c r="A65" s="1" t="s">
        <v>83</v>
      </c>
      <c r="B65" s="16" t="s">
        <v>84</v>
      </c>
      <c r="C65" s="13">
        <f>12965313</f>
        <v>12965313</v>
      </c>
      <c r="D65" s="13">
        <f>3959100</f>
        <v>3959100</v>
      </c>
      <c r="E65" s="13"/>
      <c r="F65" s="13"/>
      <c r="G65" s="13"/>
      <c r="H65" s="14">
        <f>SUM(C65:G65)</f>
        <v>16924413</v>
      </c>
      <c r="I65" s="14"/>
    </row>
    <row r="66" spans="1:10" x14ac:dyDescent="0.2">
      <c r="A66" s="1" t="s">
        <v>85</v>
      </c>
      <c r="B66" s="16" t="s">
        <v>28</v>
      </c>
      <c r="C66" s="13">
        <f>152680696</f>
        <v>152680696</v>
      </c>
      <c r="D66" s="13">
        <f>72046717</f>
        <v>72046717</v>
      </c>
      <c r="E66" s="13"/>
      <c r="F66" s="13"/>
      <c r="G66" s="13"/>
      <c r="H66" s="14">
        <f>SUM(C66:G66)</f>
        <v>224727413</v>
      </c>
      <c r="I66" s="14"/>
    </row>
    <row r="67" spans="1:10" x14ac:dyDescent="0.2">
      <c r="C67" s="15"/>
      <c r="D67" s="15"/>
      <c r="E67" s="15"/>
      <c r="F67" s="15"/>
      <c r="G67" s="15"/>
      <c r="H67" s="14"/>
      <c r="I67" s="14"/>
    </row>
    <row r="68" spans="1:10" x14ac:dyDescent="0.2">
      <c r="A68" s="1" t="s">
        <v>86</v>
      </c>
      <c r="C68" s="13">
        <f>37718140</f>
        <v>37718140</v>
      </c>
      <c r="D68" s="13">
        <v>147467641</v>
      </c>
      <c r="E68" s="13">
        <f>[1]Input!H439</f>
        <v>0</v>
      </c>
      <c r="F68" s="13">
        <f>[1]Input!H440</f>
        <v>0</v>
      </c>
      <c r="G68" s="13"/>
      <c r="H68" s="14"/>
      <c r="I68" s="14">
        <f>SUM(C68:G68)</f>
        <v>185185781</v>
      </c>
    </row>
    <row r="69" spans="1:10" x14ac:dyDescent="0.2">
      <c r="A69" s="1" t="s">
        <v>87</v>
      </c>
      <c r="B69" s="16" t="s">
        <v>31</v>
      </c>
      <c r="C69" s="13">
        <f>19094784</f>
        <v>19094784</v>
      </c>
      <c r="D69" s="13">
        <f>34178864</f>
        <v>34178864</v>
      </c>
      <c r="E69" s="13"/>
      <c r="F69" s="13"/>
      <c r="G69" s="13"/>
      <c r="H69" s="14">
        <f>SUM(C69:G69)</f>
        <v>53273648</v>
      </c>
      <c r="I69" s="14"/>
    </row>
    <row r="70" spans="1:10" x14ac:dyDescent="0.2">
      <c r="A70" s="1" t="s">
        <v>88</v>
      </c>
      <c r="B70" s="16" t="s">
        <v>89</v>
      </c>
      <c r="C70" s="13">
        <f>2195111</f>
        <v>2195111</v>
      </c>
      <c r="D70" s="13">
        <f>7602792</f>
        <v>7602792</v>
      </c>
      <c r="E70" s="13"/>
      <c r="F70" s="13"/>
      <c r="G70" s="13"/>
      <c r="H70" s="14">
        <f>SUM(C70:G70)</f>
        <v>9797903</v>
      </c>
      <c r="I70" s="14"/>
    </row>
    <row r="71" spans="1:10" x14ac:dyDescent="0.2">
      <c r="C71" s="13"/>
      <c r="D71" s="13"/>
      <c r="E71" s="13"/>
      <c r="F71" s="13"/>
      <c r="G71" s="13"/>
      <c r="H71" s="14"/>
      <c r="I71" s="14"/>
    </row>
    <row r="72" spans="1:10" x14ac:dyDescent="0.2">
      <c r="A72" s="1" t="s">
        <v>90</v>
      </c>
      <c r="C72" s="13">
        <f>5773965</f>
        <v>5773965</v>
      </c>
      <c r="D72" s="13">
        <f>49175033+221304</f>
        <v>49396337</v>
      </c>
      <c r="E72" s="13">
        <f>[1]Input!E471+[1]Input!E475</f>
        <v>8949955.9000000004</v>
      </c>
      <c r="F72" s="13">
        <f>[1]Input!E472+[1]Input!E476</f>
        <v>2044055.8</v>
      </c>
      <c r="G72" s="13"/>
      <c r="H72" s="14"/>
      <c r="I72" s="14">
        <f>SUM(C72:G72)</f>
        <v>66164313.699999996</v>
      </c>
      <c r="J72" s="17"/>
    </row>
    <row r="73" spans="1:10" x14ac:dyDescent="0.2">
      <c r="A73" s="1" t="s">
        <v>91</v>
      </c>
      <c r="B73" s="16" t="s">
        <v>92</v>
      </c>
      <c r="C73" s="13">
        <f>614942</f>
        <v>614942</v>
      </c>
      <c r="D73" s="13">
        <f>612936</f>
        <v>612936</v>
      </c>
      <c r="E73" s="13"/>
      <c r="F73" s="13"/>
      <c r="G73" s="13"/>
      <c r="H73" s="14">
        <f>SUM(C73:G73)</f>
        <v>1227878</v>
      </c>
      <c r="I73" s="14"/>
    </row>
    <row r="74" spans="1:10" x14ac:dyDescent="0.2">
      <c r="A74" s="1" t="s">
        <v>93</v>
      </c>
      <c r="B74" s="16" t="s">
        <v>39</v>
      </c>
      <c r="C74" s="13">
        <f>1438461</f>
        <v>1438461</v>
      </c>
      <c r="D74" s="13">
        <f>1112373</f>
        <v>1112373</v>
      </c>
      <c r="E74" s="13"/>
      <c r="F74" s="13"/>
      <c r="G74" s="13"/>
      <c r="H74" s="14">
        <f>SUM(C74:G74)</f>
        <v>2550834</v>
      </c>
      <c r="I74" s="14"/>
    </row>
    <row r="75" spans="1:10" x14ac:dyDescent="0.2">
      <c r="C75" s="13"/>
      <c r="D75" s="13"/>
      <c r="E75" s="13"/>
      <c r="F75" s="13"/>
      <c r="G75" s="13"/>
      <c r="H75" s="14"/>
      <c r="I75" s="14"/>
    </row>
    <row r="76" spans="1:10" x14ac:dyDescent="0.2">
      <c r="A76" s="1" t="s">
        <v>94</v>
      </c>
      <c r="C76" s="13">
        <f>27285858</f>
        <v>27285858</v>
      </c>
      <c r="D76" s="13">
        <f>156717787+6597657</f>
        <v>163315444</v>
      </c>
      <c r="E76" s="13"/>
      <c r="F76" s="13"/>
      <c r="G76" s="13"/>
      <c r="H76" s="14"/>
      <c r="I76" s="14">
        <f>SUM(C76:G76)</f>
        <v>190601302</v>
      </c>
    </row>
    <row r="77" spans="1:10" x14ac:dyDescent="0.2">
      <c r="A77" s="1" t="s">
        <v>95</v>
      </c>
      <c r="B77" s="16" t="s">
        <v>28</v>
      </c>
      <c r="C77" s="13">
        <f>11752540</f>
        <v>11752540</v>
      </c>
      <c r="D77" s="13">
        <f>24540269+15214</f>
        <v>24555483</v>
      </c>
      <c r="E77" s="13"/>
      <c r="F77" s="13"/>
      <c r="G77" s="13"/>
      <c r="H77" s="14">
        <f>SUM(C77:G77)</f>
        <v>36308023</v>
      </c>
      <c r="I77" s="14"/>
    </row>
    <row r="78" spans="1:10" x14ac:dyDescent="0.2">
      <c r="A78" s="1" t="s">
        <v>96</v>
      </c>
      <c r="B78" s="16" t="s">
        <v>97</v>
      </c>
      <c r="C78" s="13">
        <f>807947</f>
        <v>807947</v>
      </c>
      <c r="D78" s="13">
        <f>359525</f>
        <v>359525</v>
      </c>
      <c r="E78" s="13"/>
      <c r="F78" s="13"/>
      <c r="G78" s="13"/>
      <c r="H78" s="14">
        <f>SUM(C78:G78)</f>
        <v>1167472</v>
      </c>
      <c r="I78" s="14"/>
    </row>
    <row r="79" spans="1:10" x14ac:dyDescent="0.2">
      <c r="C79" s="13"/>
      <c r="D79" s="13"/>
      <c r="E79" s="13"/>
      <c r="F79" s="13"/>
      <c r="G79" s="13"/>
      <c r="H79" s="14"/>
      <c r="I79" s="14"/>
    </row>
    <row r="80" spans="1:10" x14ac:dyDescent="0.2">
      <c r="A80" s="1" t="s">
        <v>98</v>
      </c>
      <c r="C80" s="13">
        <f>724386362</f>
        <v>724386362</v>
      </c>
      <c r="D80" s="13">
        <f>1863402264+15328367</f>
        <v>1878730631</v>
      </c>
      <c r="E80" s="13">
        <f>[1]Input!E568</f>
        <v>3817159713.5499997</v>
      </c>
      <c r="F80" s="13">
        <f>[1]Input!E569</f>
        <v>918758112.63000011</v>
      </c>
      <c r="G80" s="13"/>
      <c r="H80" s="14"/>
      <c r="I80" s="15">
        <f>SUM(C80:H80)</f>
        <v>7339034819.1799994</v>
      </c>
      <c r="J80" s="17"/>
    </row>
    <row r="81" spans="1:14" x14ac:dyDescent="0.2">
      <c r="A81" s="1" t="s">
        <v>99</v>
      </c>
      <c r="B81" s="16" t="s">
        <v>31</v>
      </c>
      <c r="C81" s="13">
        <f>23096911</f>
        <v>23096911</v>
      </c>
      <c r="D81" s="13">
        <f>12452323+12116</f>
        <v>12464439</v>
      </c>
      <c r="E81" s="13">
        <f>[1]Input!E546</f>
        <v>1501073.54</v>
      </c>
      <c r="F81" s="13">
        <f>[1]Input!E547</f>
        <v>321325.98</v>
      </c>
      <c r="G81" s="13"/>
      <c r="H81" s="14">
        <f>SUM(C81:G81)</f>
        <v>37383749.519999996</v>
      </c>
      <c r="I81" s="14"/>
    </row>
    <row r="82" spans="1:14" x14ac:dyDescent="0.2">
      <c r="A82" s="1" t="s">
        <v>100</v>
      </c>
      <c r="B82" s="16" t="s">
        <v>68</v>
      </c>
      <c r="C82" s="13">
        <f>397926550</f>
        <v>397926550</v>
      </c>
      <c r="D82" s="13">
        <f>274724252+92357</f>
        <v>274816609</v>
      </c>
      <c r="E82" s="13">
        <f>[1]Input!E552</f>
        <v>51347154.399999999</v>
      </c>
      <c r="F82" s="13">
        <f>[1]Input!E553</f>
        <v>11901022.33</v>
      </c>
      <c r="G82" s="13"/>
      <c r="H82" s="14">
        <f>SUM(C82:G82)</f>
        <v>735991335.73000002</v>
      </c>
      <c r="I82" s="14"/>
    </row>
    <row r="83" spans="1:14" x14ac:dyDescent="0.2">
      <c r="A83" s="1" t="s">
        <v>101</v>
      </c>
      <c r="B83" s="16" t="s">
        <v>102</v>
      </c>
      <c r="C83" s="13">
        <f>13064906</f>
        <v>13064906</v>
      </c>
      <c r="D83" s="13">
        <f>15062173+118285</f>
        <v>15180458</v>
      </c>
      <c r="E83" s="13">
        <f>[1]Input!E558</f>
        <v>279830.89</v>
      </c>
      <c r="F83" s="13">
        <f>[1]Input!E559</f>
        <v>61356.639999999999</v>
      </c>
      <c r="G83" s="13"/>
      <c r="H83" s="14">
        <f>SUM(C83:G83)</f>
        <v>28586551.530000001</v>
      </c>
      <c r="I83" s="14"/>
    </row>
    <row r="84" spans="1:14" x14ac:dyDescent="0.2">
      <c r="A84" s="1" t="s">
        <v>103</v>
      </c>
      <c r="B84" s="16" t="s">
        <v>28</v>
      </c>
      <c r="C84" s="13">
        <f>85398714</f>
        <v>85398714</v>
      </c>
      <c r="D84" s="13">
        <f>31864787+13108</f>
        <v>31877895</v>
      </c>
      <c r="E84" s="13"/>
      <c r="F84" s="13"/>
      <c r="G84" s="13"/>
      <c r="H84" s="14">
        <f>SUM(C84:G84)</f>
        <v>117276609</v>
      </c>
      <c r="I84" s="14"/>
    </row>
    <row r="85" spans="1:14" x14ac:dyDescent="0.2">
      <c r="A85" s="1" t="s">
        <v>104</v>
      </c>
      <c r="B85" s="16" t="s">
        <v>105</v>
      </c>
      <c r="C85" s="13">
        <f>4641936</f>
        <v>4641936</v>
      </c>
      <c r="D85" s="13">
        <f>2823010+2223</f>
        <v>2825233</v>
      </c>
      <c r="E85" s="13"/>
      <c r="F85" s="13"/>
      <c r="G85" s="13"/>
      <c r="H85" s="14">
        <f>SUM(C85:G85)</f>
        <v>7467169</v>
      </c>
      <c r="I85" s="14"/>
    </row>
    <row r="86" spans="1:14" x14ac:dyDescent="0.2">
      <c r="C86" s="13"/>
      <c r="D86" s="13"/>
      <c r="E86" s="13"/>
      <c r="F86" s="13"/>
      <c r="G86" s="13"/>
      <c r="H86" s="14"/>
      <c r="I86" s="14"/>
    </row>
    <row r="87" spans="1:14" x14ac:dyDescent="0.2">
      <c r="A87" s="1" t="s">
        <v>106</v>
      </c>
      <c r="C87" s="13">
        <f>999883145</f>
        <v>999883145</v>
      </c>
      <c r="D87" s="13">
        <f>440318467+4319633</f>
        <v>444638100</v>
      </c>
      <c r="E87" s="13"/>
      <c r="F87" s="13"/>
      <c r="G87" s="13"/>
      <c r="H87" s="14"/>
      <c r="I87" s="14">
        <f>SUM(C87:G87)</f>
        <v>1444521245</v>
      </c>
    </row>
    <row r="88" spans="1:14" x14ac:dyDescent="0.2">
      <c r="A88" s="1" t="s">
        <v>107</v>
      </c>
      <c r="B88" s="16" t="s">
        <v>105</v>
      </c>
      <c r="C88" s="13">
        <f>21143971</f>
        <v>21143971</v>
      </c>
      <c r="D88" s="13">
        <f>7031520+149</f>
        <v>7031669</v>
      </c>
      <c r="E88" s="13"/>
      <c r="F88" s="13"/>
      <c r="G88" s="13"/>
      <c r="H88" s="14">
        <f>SUM(C88:G88)</f>
        <v>28175640</v>
      </c>
      <c r="I88" s="14"/>
    </row>
    <row r="89" spans="1:14" x14ac:dyDescent="0.2">
      <c r="A89" s="1" t="s">
        <v>108</v>
      </c>
      <c r="B89" s="16" t="s">
        <v>109</v>
      </c>
      <c r="C89" s="13">
        <f>9292930</f>
        <v>9292930</v>
      </c>
      <c r="D89" s="13">
        <f>7550501+350</f>
        <v>7550851</v>
      </c>
      <c r="E89" s="13"/>
      <c r="F89" s="13"/>
      <c r="G89" s="13"/>
      <c r="H89" s="14">
        <f>SUM(C89:G89)</f>
        <v>16843781</v>
      </c>
      <c r="I89" s="14"/>
    </row>
    <row r="90" spans="1:14" x14ac:dyDescent="0.2">
      <c r="A90" s="1" t="s">
        <v>110</v>
      </c>
      <c r="B90" s="16" t="s">
        <v>111</v>
      </c>
      <c r="C90" s="13">
        <f>1815474</f>
        <v>1815474</v>
      </c>
      <c r="D90" s="13">
        <f>2751022+251</f>
        <v>2751273</v>
      </c>
      <c r="E90" s="13"/>
      <c r="F90" s="13"/>
      <c r="G90" s="13"/>
      <c r="H90" s="14">
        <f>SUM(C90:G90)</f>
        <v>4566747</v>
      </c>
      <c r="I90" s="14"/>
    </row>
    <row r="91" spans="1:14" x14ac:dyDescent="0.2">
      <c r="A91" s="1" t="s">
        <v>112</v>
      </c>
      <c r="B91" s="16" t="s">
        <v>113</v>
      </c>
      <c r="C91" s="13">
        <f>120560+429550870</f>
        <v>429671430</v>
      </c>
      <c r="D91" s="13">
        <f>1288989+170139416</f>
        <v>171428405</v>
      </c>
      <c r="E91" s="13"/>
      <c r="F91" s="13"/>
      <c r="G91" s="13"/>
      <c r="H91" s="14">
        <f>SUM(C91:G91)</f>
        <v>601099835</v>
      </c>
      <c r="I91" s="14"/>
    </row>
    <row r="92" spans="1:14" x14ac:dyDescent="0.2">
      <c r="A92" s="1" t="s">
        <v>114</v>
      </c>
      <c r="B92" s="16" t="s">
        <v>115</v>
      </c>
      <c r="C92" s="13">
        <f>31790336</f>
        <v>31790336</v>
      </c>
      <c r="D92" s="13">
        <f>24734589+284</f>
        <v>24734873</v>
      </c>
      <c r="E92" s="13"/>
      <c r="F92" s="13"/>
      <c r="G92" s="13"/>
      <c r="H92" s="14">
        <f>SUM(C92:G92)</f>
        <v>56525209</v>
      </c>
      <c r="I92" s="14"/>
      <c r="L92" s="29"/>
      <c r="M92" s="29"/>
      <c r="N92" s="29"/>
    </row>
    <row r="93" spans="1:14" x14ac:dyDescent="0.2">
      <c r="C93" s="13"/>
      <c r="D93" s="13"/>
      <c r="E93" s="13"/>
      <c r="F93" s="13"/>
      <c r="G93" s="13"/>
      <c r="H93" s="14"/>
      <c r="I93" s="14"/>
      <c r="L93" s="29"/>
      <c r="M93" s="29"/>
      <c r="N93" s="29"/>
    </row>
    <row r="94" spans="1:14" x14ac:dyDescent="0.2">
      <c r="A94" s="1" t="s">
        <v>116</v>
      </c>
      <c r="B94" s="16" t="s">
        <v>28</v>
      </c>
      <c r="C94" s="13">
        <f>761973590</f>
        <v>761973590</v>
      </c>
      <c r="D94" s="13">
        <f>112994510</f>
        <v>112994510</v>
      </c>
      <c r="E94" s="13"/>
      <c r="F94" s="13"/>
      <c r="G94" s="13"/>
      <c r="H94" s="14"/>
      <c r="I94" s="14">
        <f>SUM(C94:G94)</f>
        <v>874968100</v>
      </c>
      <c r="L94" s="29"/>
      <c r="M94" s="29"/>
      <c r="N94" s="29"/>
    </row>
    <row r="95" spans="1:14" x14ac:dyDescent="0.2">
      <c r="C95" s="13"/>
      <c r="D95" s="13"/>
      <c r="E95" s="13"/>
      <c r="F95" s="13"/>
      <c r="G95" s="13"/>
      <c r="H95" s="14"/>
      <c r="I95" s="14"/>
      <c r="L95" s="29"/>
      <c r="M95" s="29"/>
      <c r="N95" s="29"/>
    </row>
    <row r="96" spans="1:14" x14ac:dyDescent="0.2">
      <c r="A96" s="1" t="s">
        <v>117</v>
      </c>
      <c r="C96" s="13">
        <f>276582842</f>
        <v>276582842</v>
      </c>
      <c r="D96" s="13">
        <f>388343798</f>
        <v>388343798</v>
      </c>
      <c r="E96" s="13"/>
      <c r="F96" s="13"/>
      <c r="G96" s="13"/>
      <c r="H96" s="14"/>
      <c r="I96" s="14">
        <f>SUM(C96:G96)</f>
        <v>664926640</v>
      </c>
      <c r="L96" s="29"/>
      <c r="M96" s="29"/>
      <c r="N96" s="29"/>
    </row>
    <row r="97" spans="1:14" x14ac:dyDescent="0.2">
      <c r="A97" s="1" t="s">
        <v>118</v>
      </c>
      <c r="B97" s="16" t="s">
        <v>97</v>
      </c>
      <c r="C97" s="13">
        <f>11241193</f>
        <v>11241193</v>
      </c>
      <c r="D97" s="13">
        <f>7937369</f>
        <v>7937369</v>
      </c>
      <c r="E97" s="13"/>
      <c r="F97" s="13"/>
      <c r="G97" s="13"/>
      <c r="H97" s="14">
        <f>SUM(C97:G97)</f>
        <v>19178562</v>
      </c>
      <c r="I97" s="14"/>
      <c r="L97" s="29"/>
      <c r="M97" s="29"/>
      <c r="N97" s="29"/>
    </row>
    <row r="98" spans="1:14" x14ac:dyDescent="0.2">
      <c r="A98" s="1" t="s">
        <v>119</v>
      </c>
      <c r="B98" s="16" t="s">
        <v>28</v>
      </c>
      <c r="C98" s="13">
        <f>146362510</f>
        <v>146362510</v>
      </c>
      <c r="D98" s="13">
        <f>145349155</f>
        <v>145349155</v>
      </c>
      <c r="E98" s="13"/>
      <c r="F98" s="13"/>
      <c r="G98" s="13"/>
      <c r="H98" s="14">
        <f>SUM(C98:G98)</f>
        <v>291711665</v>
      </c>
      <c r="I98" s="14"/>
      <c r="L98" s="29"/>
      <c r="M98" s="29"/>
      <c r="N98" s="29"/>
    </row>
    <row r="99" spans="1:14" x14ac:dyDescent="0.2">
      <c r="C99" s="13"/>
      <c r="D99" s="13"/>
      <c r="E99" s="13"/>
      <c r="F99" s="13"/>
      <c r="G99" s="13"/>
      <c r="H99" s="14"/>
      <c r="I99" s="14"/>
      <c r="L99" s="29"/>
      <c r="M99" s="29"/>
      <c r="N99" s="29"/>
    </row>
    <row r="100" spans="1:14" x14ac:dyDescent="0.2">
      <c r="A100" s="1" t="s">
        <v>120</v>
      </c>
      <c r="C100" s="13">
        <f>272863576</f>
        <v>272863576</v>
      </c>
      <c r="D100" s="13">
        <f>456526467</f>
        <v>456526467</v>
      </c>
      <c r="E100" s="13">
        <f>[1]Input!E691</f>
        <v>67669.119999999995</v>
      </c>
      <c r="F100" s="13">
        <f>[1]Input!E692</f>
        <v>24090.77</v>
      </c>
      <c r="G100" s="13"/>
      <c r="H100" s="14"/>
      <c r="I100" s="14">
        <f>SUM(C100:G100)</f>
        <v>729481802.88999999</v>
      </c>
      <c r="J100" s="17"/>
      <c r="L100" s="29"/>
      <c r="M100" s="29"/>
      <c r="N100" s="29"/>
    </row>
    <row r="101" spans="1:14" x14ac:dyDescent="0.2">
      <c r="A101" s="1" t="s">
        <v>121</v>
      </c>
      <c r="B101" s="16" t="s">
        <v>28</v>
      </c>
      <c r="C101" s="13">
        <f>206342897</f>
        <v>206342897</v>
      </c>
      <c r="D101" s="13">
        <f>148938634</f>
        <v>148938634</v>
      </c>
      <c r="E101" s="13"/>
      <c r="F101" s="13"/>
      <c r="G101" s="13"/>
      <c r="H101" s="14">
        <f>SUM(C101:G101)</f>
        <v>355281531</v>
      </c>
      <c r="I101" s="14"/>
    </row>
    <row r="102" spans="1:14" x14ac:dyDescent="0.2">
      <c r="C102" s="13"/>
      <c r="D102" s="13"/>
      <c r="E102" s="13"/>
      <c r="F102" s="13"/>
      <c r="G102" s="13"/>
      <c r="H102" s="14"/>
      <c r="I102" s="14"/>
    </row>
    <row r="103" spans="1:14" x14ac:dyDescent="0.2">
      <c r="A103" s="1" t="s">
        <v>122</v>
      </c>
      <c r="C103" s="13">
        <f>83184082</f>
        <v>83184082</v>
      </c>
      <c r="D103" s="13">
        <f>70450719</f>
        <v>70450719</v>
      </c>
      <c r="E103" s="13"/>
      <c r="F103" s="13"/>
      <c r="G103" s="13"/>
      <c r="H103" s="14"/>
      <c r="I103" s="14">
        <f>SUM(C103:G103)</f>
        <v>153634801</v>
      </c>
    </row>
    <row r="104" spans="1:14" x14ac:dyDescent="0.2">
      <c r="A104" s="1" t="s">
        <v>123</v>
      </c>
      <c r="B104" s="16" t="s">
        <v>15</v>
      </c>
      <c r="C104" s="13">
        <f>2472238</f>
        <v>2472238</v>
      </c>
      <c r="D104" s="13">
        <f>3232053</f>
        <v>3232053</v>
      </c>
      <c r="E104" s="13"/>
      <c r="F104" s="13"/>
      <c r="G104" s="13"/>
      <c r="H104" s="14">
        <f>SUM(C104:G104)</f>
        <v>5704291</v>
      </c>
      <c r="I104" s="14"/>
    </row>
    <row r="105" spans="1:14" x14ac:dyDescent="0.2">
      <c r="A105" s="20"/>
      <c r="B105" s="21"/>
      <c r="C105" s="22"/>
      <c r="D105" s="22"/>
      <c r="E105" s="22"/>
      <c r="F105" s="22"/>
      <c r="G105" s="22"/>
      <c r="H105" s="6" t="s">
        <v>1</v>
      </c>
      <c r="I105" s="6" t="s">
        <v>1</v>
      </c>
    </row>
    <row r="106" spans="1:14" x14ac:dyDescent="0.2">
      <c r="A106" s="23"/>
      <c r="B106" s="10"/>
      <c r="C106" s="24" t="s">
        <v>2</v>
      </c>
      <c r="D106" s="24" t="s">
        <v>3</v>
      </c>
      <c r="E106" s="2" t="s">
        <v>4</v>
      </c>
      <c r="F106" s="2"/>
      <c r="G106" s="24" t="s">
        <v>5</v>
      </c>
      <c r="H106" s="9" t="s">
        <v>6</v>
      </c>
      <c r="I106" s="9" t="s">
        <v>7</v>
      </c>
    </row>
    <row r="107" spans="1:14" x14ac:dyDescent="0.2">
      <c r="A107" s="11" t="s">
        <v>8</v>
      </c>
      <c r="B107" s="12" t="s">
        <v>9</v>
      </c>
      <c r="C107" s="25" t="s">
        <v>10</v>
      </c>
      <c r="D107" s="25" t="s">
        <v>10</v>
      </c>
      <c r="E107" s="25" t="s">
        <v>11</v>
      </c>
      <c r="F107" s="25" t="s">
        <v>12</v>
      </c>
      <c r="G107" s="25" t="s">
        <v>11</v>
      </c>
      <c r="H107" s="12" t="s">
        <v>10</v>
      </c>
      <c r="I107" s="12" t="s">
        <v>10</v>
      </c>
    </row>
    <row r="108" spans="1:14" x14ac:dyDescent="0.2">
      <c r="A108" s="45" t="s">
        <v>124</v>
      </c>
      <c r="C108" s="13">
        <f>876289164</f>
        <v>876289164</v>
      </c>
      <c r="D108" s="13">
        <v>413738134</v>
      </c>
      <c r="E108" s="13"/>
      <c r="F108" s="13"/>
      <c r="G108" s="13"/>
      <c r="H108" s="14"/>
      <c r="I108" s="14">
        <f>SUM(C108:G108)</f>
        <v>1290027298</v>
      </c>
    </row>
    <row r="109" spans="1:14" x14ac:dyDescent="0.2">
      <c r="A109" s="1" t="s">
        <v>125</v>
      </c>
      <c r="B109" s="16" t="s">
        <v>28</v>
      </c>
      <c r="C109" s="13">
        <f>449043362</f>
        <v>449043362</v>
      </c>
      <c r="D109" s="13">
        <f>157881467</f>
        <v>157881467</v>
      </c>
      <c r="E109" s="13"/>
      <c r="F109" s="13"/>
      <c r="G109" s="13"/>
      <c r="H109" s="14">
        <f>SUM(C109:G109)</f>
        <v>606924829</v>
      </c>
      <c r="I109" s="14"/>
    </row>
    <row r="110" spans="1:14" x14ac:dyDescent="0.2">
      <c r="A110" s="1" t="s">
        <v>126</v>
      </c>
      <c r="B110" s="16" t="s">
        <v>50</v>
      </c>
      <c r="C110" s="13">
        <f>46243317</f>
        <v>46243317</v>
      </c>
      <c r="D110" s="13">
        <f>13738271</f>
        <v>13738271</v>
      </c>
      <c r="E110" s="13"/>
      <c r="F110" s="13"/>
      <c r="G110" s="13"/>
      <c r="H110" s="14">
        <f>SUM(C110:G110)</f>
        <v>59981588</v>
      </c>
      <c r="I110" s="14"/>
    </row>
    <row r="111" spans="1:14" x14ac:dyDescent="0.2">
      <c r="A111" s="1" t="s">
        <v>127</v>
      </c>
      <c r="B111" s="16" t="s">
        <v>128</v>
      </c>
      <c r="C111" s="13">
        <f>26636549</f>
        <v>26636549</v>
      </c>
      <c r="D111" s="13">
        <f>7945129</f>
        <v>7945129</v>
      </c>
      <c r="E111" s="13"/>
      <c r="F111" s="13"/>
      <c r="G111" s="13"/>
      <c r="H111" s="14">
        <f>SUM(C111:G111)</f>
        <v>34581678</v>
      </c>
      <c r="I111" s="14"/>
    </row>
    <row r="112" spans="1:14" x14ac:dyDescent="0.2">
      <c r="C112" s="13"/>
      <c r="D112" s="13"/>
      <c r="E112" s="13"/>
      <c r="F112" s="13"/>
      <c r="G112" s="13"/>
      <c r="H112" s="14"/>
      <c r="I112" s="14"/>
    </row>
    <row r="113" spans="1:10" x14ac:dyDescent="0.2">
      <c r="A113" s="49" t="s">
        <v>129</v>
      </c>
      <c r="C113" s="13">
        <v>87001390</v>
      </c>
      <c r="D113" s="48">
        <v>153415967</v>
      </c>
      <c r="E113" s="13">
        <f>[1]Input!E803</f>
        <v>511154.45</v>
      </c>
      <c r="F113" s="13">
        <f>[1]Input!E804</f>
        <v>123346.69</v>
      </c>
      <c r="G113" s="13"/>
      <c r="H113" s="14"/>
      <c r="I113" s="14">
        <f>SUM(C113:G113)</f>
        <v>241051858.13999999</v>
      </c>
      <c r="J113" s="17"/>
    </row>
    <row r="114" spans="1:10" x14ac:dyDescent="0.2">
      <c r="A114" s="49" t="s">
        <v>130</v>
      </c>
      <c r="B114" s="50" t="s">
        <v>102</v>
      </c>
      <c r="C114" s="13">
        <f>473004</f>
        <v>473004</v>
      </c>
      <c r="D114" s="48">
        <v>613618</v>
      </c>
      <c r="E114" s="15"/>
      <c r="F114" s="13"/>
      <c r="G114" s="13"/>
      <c r="H114" s="14">
        <f>SUM(C114:G114)</f>
        <v>1086622</v>
      </c>
      <c r="I114" s="14"/>
    </row>
    <row r="115" spans="1:10" x14ac:dyDescent="0.2">
      <c r="A115" s="49" t="s">
        <v>131</v>
      </c>
      <c r="B115" s="50" t="s">
        <v>132</v>
      </c>
      <c r="C115" s="13">
        <f>24003054</f>
        <v>24003054</v>
      </c>
      <c r="D115" s="48">
        <v>13418729</v>
      </c>
      <c r="E115" s="15"/>
      <c r="F115" s="13"/>
      <c r="G115" s="13"/>
      <c r="H115" s="14">
        <f>SUM(C115:G115)</f>
        <v>37421783</v>
      </c>
      <c r="I115" s="14"/>
    </row>
    <row r="116" spans="1:10" x14ac:dyDescent="0.2">
      <c r="A116" s="49" t="s">
        <v>133</v>
      </c>
      <c r="B116" s="50" t="s">
        <v>134</v>
      </c>
      <c r="C116" s="13">
        <f>882301</f>
        <v>882301</v>
      </c>
      <c r="D116" s="48">
        <v>1845448</v>
      </c>
      <c r="E116" s="15"/>
      <c r="F116" s="13"/>
      <c r="G116" s="13"/>
      <c r="H116" s="14">
        <f>SUM(C116:G116)</f>
        <v>2727749</v>
      </c>
      <c r="I116" s="14"/>
    </row>
    <row r="117" spans="1:10" x14ac:dyDescent="0.2">
      <c r="A117" s="49" t="s">
        <v>135</v>
      </c>
      <c r="B117" s="50" t="s">
        <v>28</v>
      </c>
      <c r="C117" s="13">
        <f>34562803</f>
        <v>34562803</v>
      </c>
      <c r="D117" s="48">
        <v>44776335</v>
      </c>
      <c r="E117" s="15"/>
      <c r="F117" s="13"/>
      <c r="G117" s="13"/>
      <c r="H117" s="14">
        <f>SUM(C117:G117)</f>
        <v>79339138</v>
      </c>
      <c r="I117" s="14"/>
    </row>
    <row r="118" spans="1:10" x14ac:dyDescent="0.2">
      <c r="C118" s="13"/>
      <c r="D118" s="13"/>
      <c r="E118" s="13"/>
      <c r="F118" s="13"/>
      <c r="G118" s="13"/>
      <c r="H118" s="14"/>
      <c r="I118" s="14"/>
    </row>
    <row r="119" spans="1:10" x14ac:dyDescent="0.2">
      <c r="A119" s="1" t="s">
        <v>136</v>
      </c>
      <c r="C119" s="13">
        <f>548424122</f>
        <v>548424122</v>
      </c>
      <c r="D119" s="13">
        <f>333584574</f>
        <v>333584574</v>
      </c>
      <c r="E119" s="13">
        <f>[1]Input!E846+[1]Input!E852</f>
        <v>117492188.02000001</v>
      </c>
      <c r="F119" s="13">
        <f>[1]Input!E847+[1]Input!E853</f>
        <v>38688249.609999999</v>
      </c>
      <c r="G119" s="13"/>
      <c r="H119" s="14"/>
      <c r="I119" s="14">
        <f>SUM(C119:G119)</f>
        <v>1038189133.63</v>
      </c>
      <c r="J119" s="17"/>
    </row>
    <row r="120" spans="1:10" x14ac:dyDescent="0.2">
      <c r="A120" s="1" t="s">
        <v>137</v>
      </c>
      <c r="B120" s="16" t="s">
        <v>102</v>
      </c>
      <c r="C120" s="13">
        <f>15329405</f>
        <v>15329405</v>
      </c>
      <c r="D120" s="13">
        <f>13192983</f>
        <v>13192983</v>
      </c>
      <c r="E120" s="13"/>
      <c r="F120" s="13"/>
      <c r="G120" s="13"/>
      <c r="H120" s="14">
        <f>SUM(C120:G120)</f>
        <v>28522388</v>
      </c>
      <c r="I120" s="14"/>
    </row>
    <row r="121" spans="1:10" x14ac:dyDescent="0.2">
      <c r="A121" s="1" t="s">
        <v>138</v>
      </c>
      <c r="B121" s="16">
        <v>55</v>
      </c>
      <c r="C121" s="13">
        <f>72276968</f>
        <v>72276968</v>
      </c>
      <c r="D121" s="13">
        <f>65546318</f>
        <v>65546318</v>
      </c>
      <c r="E121" s="13"/>
      <c r="F121" s="13"/>
      <c r="G121" s="13"/>
      <c r="H121" s="14">
        <f>SUM(C121:G121)</f>
        <v>137823286</v>
      </c>
      <c r="I121" s="14"/>
    </row>
    <row r="122" spans="1:10" x14ac:dyDescent="0.2">
      <c r="C122" s="13"/>
      <c r="D122" s="13"/>
      <c r="E122" s="13"/>
      <c r="F122" s="13"/>
      <c r="G122" s="13"/>
      <c r="H122" s="14"/>
      <c r="I122" s="14"/>
    </row>
    <row r="123" spans="1:10" x14ac:dyDescent="0.2">
      <c r="A123" s="1" t="s">
        <v>139</v>
      </c>
      <c r="C123" s="13">
        <f>191180643</f>
        <v>191180643</v>
      </c>
      <c r="D123" s="13">
        <f>427683654</f>
        <v>427683654</v>
      </c>
      <c r="E123" s="13">
        <f>[1]Input!E890+[1]Input!E894+[1]Input!E899</f>
        <v>7452742.7000000002</v>
      </c>
      <c r="F123" s="13">
        <f>[1]Input!E891+[1]Input!E895+[1]Input!E900</f>
        <v>1721467.72</v>
      </c>
      <c r="G123" s="13"/>
      <c r="H123" s="14"/>
      <c r="I123" s="14">
        <f>SUM(C123:G123)</f>
        <v>628038507.42000008</v>
      </c>
      <c r="J123" s="17"/>
    </row>
    <row r="124" spans="1:10" x14ac:dyDescent="0.2">
      <c r="A124" s="1" t="s">
        <v>140</v>
      </c>
      <c r="B124" s="16" t="s">
        <v>141</v>
      </c>
      <c r="C124" s="13">
        <f>368804</f>
        <v>368804</v>
      </c>
      <c r="D124" s="13">
        <f>776305</f>
        <v>776305</v>
      </c>
      <c r="E124" s="13"/>
      <c r="F124" s="13"/>
      <c r="G124" s="13"/>
      <c r="H124" s="14">
        <f>SUM(C124:G124)</f>
        <v>1145109</v>
      </c>
      <c r="I124" s="14"/>
    </row>
    <row r="125" spans="1:10" x14ac:dyDescent="0.2">
      <c r="A125" s="1" t="s">
        <v>142</v>
      </c>
      <c r="B125" s="16" t="s">
        <v>143</v>
      </c>
      <c r="C125" s="13">
        <f>744957</f>
        <v>744957</v>
      </c>
      <c r="D125" s="13">
        <f>299340</f>
        <v>299340</v>
      </c>
      <c r="E125" s="13"/>
      <c r="F125" s="13"/>
      <c r="G125" s="13"/>
      <c r="H125" s="14">
        <f>SUM(C125:G125)</f>
        <v>1044297</v>
      </c>
      <c r="I125" s="14"/>
    </row>
    <row r="126" spans="1:10" x14ac:dyDescent="0.2">
      <c r="A126" s="1" t="s">
        <v>144</v>
      </c>
      <c r="B126" s="16" t="s">
        <v>59</v>
      </c>
      <c r="C126" s="13">
        <f>1353805</f>
        <v>1353805</v>
      </c>
      <c r="D126" s="13">
        <f>1219439</f>
        <v>1219439</v>
      </c>
      <c r="E126" s="13"/>
      <c r="F126" s="13"/>
      <c r="G126" s="13"/>
      <c r="H126" s="14">
        <f>SUM(C126:G126)</f>
        <v>2573244</v>
      </c>
      <c r="I126" s="14"/>
    </row>
    <row r="127" spans="1:10" x14ac:dyDescent="0.2">
      <c r="A127" s="1" t="s">
        <v>145</v>
      </c>
      <c r="B127" s="16" t="s">
        <v>92</v>
      </c>
      <c r="C127" s="13">
        <f>703422</f>
        <v>703422</v>
      </c>
      <c r="D127" s="13">
        <f>402683</f>
        <v>402683</v>
      </c>
      <c r="E127" s="13"/>
      <c r="F127" s="13"/>
      <c r="G127" s="13"/>
      <c r="H127" s="14">
        <f>SUM(C127:G127)</f>
        <v>1106105</v>
      </c>
      <c r="I127" s="14"/>
    </row>
    <row r="128" spans="1:10" x14ac:dyDescent="0.2">
      <c r="A128" s="1" t="s">
        <v>146</v>
      </c>
      <c r="B128" s="16" t="s">
        <v>28</v>
      </c>
      <c r="C128" s="13">
        <f>124231694</f>
        <v>124231694</v>
      </c>
      <c r="D128" s="13">
        <f>47973130</f>
        <v>47973130</v>
      </c>
      <c r="E128" s="13"/>
      <c r="F128" s="13"/>
      <c r="G128" s="13"/>
      <c r="H128" s="14">
        <f>SUM(C128:G128)</f>
        <v>172204824</v>
      </c>
      <c r="I128" s="14"/>
    </row>
    <row r="129" spans="1:11" x14ac:dyDescent="0.2">
      <c r="C129" s="15"/>
      <c r="D129" s="15"/>
      <c r="E129" s="15"/>
      <c r="F129" s="15"/>
      <c r="G129" s="15"/>
      <c r="H129" s="30"/>
      <c r="I129" s="30"/>
    </row>
    <row r="130" spans="1:11" x14ac:dyDescent="0.2">
      <c r="A130" s="1" t="s">
        <v>147</v>
      </c>
      <c r="C130" s="13">
        <f>3207139732</f>
        <v>3207139732</v>
      </c>
      <c r="D130" s="13">
        <f>868881536+2103784</f>
        <v>870985320</v>
      </c>
      <c r="E130" s="13">
        <f>[1]Input!E1045</f>
        <v>35806860.310000002</v>
      </c>
      <c r="F130" s="13">
        <f>[1]Input!E1046</f>
        <v>8583438.3800000008</v>
      </c>
      <c r="G130" s="13"/>
      <c r="H130" s="14"/>
      <c r="I130" s="14">
        <f>SUM(C130:G130)</f>
        <v>4122515350.6900001</v>
      </c>
      <c r="J130" s="17"/>
    </row>
    <row r="131" spans="1:11" x14ac:dyDescent="0.2">
      <c r="A131" s="1" t="s">
        <v>148</v>
      </c>
      <c r="B131" s="16" t="s">
        <v>28</v>
      </c>
      <c r="C131" s="13">
        <f>151061472</f>
        <v>151061472</v>
      </c>
      <c r="D131" s="13">
        <f>60930820+153673</f>
        <v>61084493</v>
      </c>
      <c r="E131" s="13"/>
      <c r="F131" s="13"/>
      <c r="G131" s="13"/>
      <c r="H131" s="14">
        <f t="shared" ref="H131:H136" si="1">SUM(C131:G131)</f>
        <v>212145965</v>
      </c>
      <c r="I131" s="14"/>
    </row>
    <row r="132" spans="1:11" x14ac:dyDescent="0.2">
      <c r="A132" s="1" t="s">
        <v>149</v>
      </c>
      <c r="B132" s="16" t="s">
        <v>35</v>
      </c>
      <c r="C132" s="13">
        <f>3979939</f>
        <v>3979939</v>
      </c>
      <c r="D132" s="13">
        <f>7816382+12971</f>
        <v>7829353</v>
      </c>
      <c r="E132" s="13"/>
      <c r="F132" s="13"/>
      <c r="G132" s="13"/>
      <c r="H132" s="14">
        <f t="shared" si="1"/>
        <v>11809292</v>
      </c>
      <c r="I132" s="14"/>
    </row>
    <row r="133" spans="1:11" x14ac:dyDescent="0.2">
      <c r="A133" s="1" t="s">
        <v>150</v>
      </c>
      <c r="B133" s="16" t="s">
        <v>151</v>
      </c>
      <c r="C133" s="13">
        <f>5900331</f>
        <v>5900331</v>
      </c>
      <c r="D133" s="13">
        <f>5846566+5866</f>
        <v>5852432</v>
      </c>
      <c r="E133" s="13"/>
      <c r="F133" s="13"/>
      <c r="G133" s="13"/>
      <c r="H133" s="14">
        <f t="shared" si="1"/>
        <v>11752763</v>
      </c>
      <c r="I133" s="14"/>
    </row>
    <row r="134" spans="1:11" x14ac:dyDescent="0.2">
      <c r="A134" s="1" t="s">
        <v>152</v>
      </c>
      <c r="B134" s="16" t="s">
        <v>153</v>
      </c>
      <c r="C134" s="13">
        <f>2157873387</f>
        <v>2157873387</v>
      </c>
      <c r="D134" s="13">
        <f>434742770+558</f>
        <v>434743328</v>
      </c>
      <c r="E134" s="13"/>
      <c r="F134" s="13"/>
      <c r="G134" s="13"/>
      <c r="H134" s="14">
        <f t="shared" si="1"/>
        <v>2592616715</v>
      </c>
      <c r="I134" s="14"/>
    </row>
    <row r="135" spans="1:11" x14ac:dyDescent="0.2">
      <c r="A135" s="1" t="s">
        <v>154</v>
      </c>
      <c r="B135" s="16" t="s">
        <v>155</v>
      </c>
      <c r="C135" s="13">
        <f>1799772</f>
        <v>1799772</v>
      </c>
      <c r="D135" s="13">
        <f>1935915+42196</f>
        <v>1978111</v>
      </c>
      <c r="E135" s="13"/>
      <c r="F135" s="13"/>
      <c r="G135" s="13"/>
      <c r="H135" s="14">
        <f t="shared" si="1"/>
        <v>3777883</v>
      </c>
      <c r="I135" s="14"/>
      <c r="K135" s="1" t="s">
        <v>20</v>
      </c>
    </row>
    <row r="136" spans="1:11" x14ac:dyDescent="0.2">
      <c r="A136" s="1" t="s">
        <v>16</v>
      </c>
      <c r="B136" s="16" t="s">
        <v>156</v>
      </c>
      <c r="C136" s="13">
        <f>356043370+52958264</f>
        <v>409001634</v>
      </c>
      <c r="D136" s="13">
        <f>43204642+4468622+289284+26455</f>
        <v>47989003</v>
      </c>
      <c r="E136" s="13"/>
      <c r="F136" s="13"/>
      <c r="G136" s="13"/>
      <c r="H136" s="14">
        <f t="shared" si="1"/>
        <v>456990637</v>
      </c>
      <c r="I136" s="14"/>
      <c r="K136" s="1" t="s">
        <v>157</v>
      </c>
    </row>
    <row r="137" spans="1:11" x14ac:dyDescent="0.2">
      <c r="A137" s="1" t="s">
        <v>25</v>
      </c>
      <c r="B137" s="16" t="s">
        <v>158</v>
      </c>
      <c r="C137" s="13">
        <v>0</v>
      </c>
      <c r="D137" s="13">
        <f>1610473</f>
        <v>1610473</v>
      </c>
      <c r="E137" s="13"/>
      <c r="F137" s="13"/>
      <c r="G137" s="13"/>
      <c r="H137" s="14">
        <f>SUM(C137:G137)</f>
        <v>1610473</v>
      </c>
      <c r="I137" s="14"/>
      <c r="J137" s="31"/>
      <c r="K137" s="18">
        <f>H137/$J$13</f>
        <v>9.3732267033172865E-3</v>
      </c>
    </row>
    <row r="138" spans="1:11" x14ac:dyDescent="0.2">
      <c r="C138" s="13"/>
      <c r="D138" s="15"/>
      <c r="E138" s="13"/>
      <c r="F138" s="13"/>
      <c r="G138" s="13"/>
      <c r="H138" s="14"/>
      <c r="I138" s="14"/>
    </row>
    <row r="139" spans="1:11" x14ac:dyDescent="0.2">
      <c r="A139" s="1" t="s">
        <v>159</v>
      </c>
      <c r="C139" s="13">
        <f>1548443222</f>
        <v>1548443222</v>
      </c>
      <c r="D139" s="13">
        <f>1621840413+7836891</f>
        <v>1629677304</v>
      </c>
      <c r="E139" s="13">
        <f>[1]Input!E935+[1]Input!E939+[1]Input!E941+[1]Input!E945+[1]Input!E947+[1]Input!E951+[1]Input!E955</f>
        <v>297125827.23000002</v>
      </c>
      <c r="F139" s="13">
        <f>[1]Input!E936+[1]Input!E940+[1]Input!E942+[1]Input!E946+[1]Input!E948+[1]Input!E952+[1]Input!E956</f>
        <v>63038723.699999996</v>
      </c>
      <c r="G139" s="13"/>
      <c r="H139" s="14"/>
      <c r="I139" s="14">
        <f>SUM(C139:G139)</f>
        <v>3538285076.9299998</v>
      </c>
      <c r="J139" s="17"/>
    </row>
    <row r="140" spans="1:11" x14ac:dyDescent="0.2">
      <c r="A140" s="1" t="s">
        <v>160</v>
      </c>
      <c r="B140" s="16" t="s">
        <v>59</v>
      </c>
      <c r="C140" s="13">
        <f>92252564</f>
        <v>92252564</v>
      </c>
      <c r="D140" s="13">
        <f>39041162+34541</f>
        <v>39075703</v>
      </c>
      <c r="E140" s="13">
        <f>[1]Input!E935</f>
        <v>421058.84</v>
      </c>
      <c r="F140" s="13">
        <f>[1]Input!E936</f>
        <v>128157.31</v>
      </c>
      <c r="G140" s="13"/>
      <c r="H140" s="14">
        <f>SUM(C140:G140)</f>
        <v>131877483.15000001</v>
      </c>
      <c r="I140" s="14"/>
    </row>
    <row r="141" spans="1:11" x14ac:dyDescent="0.2">
      <c r="A141" s="1" t="s">
        <v>161</v>
      </c>
      <c r="B141" s="16" t="s">
        <v>162</v>
      </c>
      <c r="C141" s="13">
        <f>81152214+330717</f>
        <v>81482931</v>
      </c>
      <c r="D141" s="13">
        <f>63630964+1352525+276044</f>
        <v>65259533</v>
      </c>
      <c r="E141" s="13">
        <f>[1]Input!E947</f>
        <v>220191.2</v>
      </c>
      <c r="F141" s="13">
        <f>[1]Input!E948</f>
        <v>45871.39</v>
      </c>
      <c r="G141" s="13"/>
      <c r="H141" s="14">
        <f>SUM(C141:G141)</f>
        <v>147008526.58999997</v>
      </c>
      <c r="I141" s="14"/>
      <c r="J141" s="17"/>
    </row>
    <row r="142" spans="1:11" x14ac:dyDescent="0.2">
      <c r="A142" s="1" t="s">
        <v>163</v>
      </c>
      <c r="B142" s="16" t="s">
        <v>92</v>
      </c>
      <c r="C142" s="13">
        <f>805400897</f>
        <v>805400897</v>
      </c>
      <c r="D142" s="13">
        <f>387654027+528935</f>
        <v>388182962</v>
      </c>
      <c r="E142" s="13">
        <f>[1]Input!E941</f>
        <v>1357139.75</v>
      </c>
      <c r="F142" s="13">
        <f>[1]Input!E942</f>
        <v>248425.88</v>
      </c>
      <c r="G142" s="13"/>
      <c r="H142" s="14">
        <f>SUM(C142:G142)</f>
        <v>1195189424.6300001</v>
      </c>
      <c r="I142" s="14"/>
    </row>
    <row r="143" spans="1:11" x14ac:dyDescent="0.2">
      <c r="A143" s="1" t="s">
        <v>164</v>
      </c>
      <c r="B143" s="16">
        <v>22</v>
      </c>
      <c r="C143" s="13">
        <f>11765488</f>
        <v>11765488</v>
      </c>
      <c r="D143" s="13">
        <f>13139336</f>
        <v>13139336</v>
      </c>
      <c r="E143" s="13"/>
      <c r="F143" s="13"/>
      <c r="G143" s="13"/>
      <c r="H143" s="14">
        <f>SUM(C143:G143)</f>
        <v>24904824</v>
      </c>
      <c r="I143" s="14"/>
    </row>
    <row r="144" spans="1:11" x14ac:dyDescent="0.2">
      <c r="B144" s="16"/>
      <c r="C144" s="13"/>
      <c r="D144" s="13"/>
      <c r="E144" s="13"/>
      <c r="F144" s="13"/>
      <c r="G144" s="13"/>
      <c r="H144" s="14"/>
      <c r="I144" s="14"/>
    </row>
    <row r="145" spans="1:11" x14ac:dyDescent="0.2">
      <c r="A145" s="1" t="s">
        <v>165</v>
      </c>
      <c r="C145" s="13">
        <f>446126178</f>
        <v>446126178</v>
      </c>
      <c r="D145" s="13">
        <f>212981959+7189537</f>
        <v>220171496</v>
      </c>
      <c r="E145" s="13"/>
      <c r="F145" s="13"/>
      <c r="G145" s="13"/>
      <c r="H145" s="14"/>
      <c r="I145" s="14">
        <f>SUM(C145:G145)</f>
        <v>666297674</v>
      </c>
    </row>
    <row r="146" spans="1:11" x14ac:dyDescent="0.2">
      <c r="A146" s="1" t="s">
        <v>166</v>
      </c>
      <c r="B146" s="16" t="s">
        <v>167</v>
      </c>
      <c r="C146" s="13">
        <f>44482290+106507410</f>
        <v>150989700</v>
      </c>
      <c r="D146" s="13">
        <f>16716419+59542872+9746+16359</f>
        <v>76285396</v>
      </c>
      <c r="E146" s="13"/>
      <c r="F146" s="13"/>
      <c r="G146" s="13"/>
      <c r="H146" s="15">
        <f>SUM(C146:G146)</f>
        <v>227275096</v>
      </c>
      <c r="I146" s="14"/>
    </row>
    <row r="147" spans="1:11" x14ac:dyDescent="0.2">
      <c r="A147" s="1" t="s">
        <v>168</v>
      </c>
      <c r="B147" s="16" t="s">
        <v>169</v>
      </c>
      <c r="C147" s="13">
        <f>20496118</f>
        <v>20496118</v>
      </c>
      <c r="D147" s="13">
        <f>4238236+40508</f>
        <v>4278744</v>
      </c>
      <c r="E147" s="13"/>
      <c r="F147" s="13"/>
      <c r="G147" s="13"/>
      <c r="H147" s="14">
        <f>SUM(C147:G147)</f>
        <v>24774862</v>
      </c>
      <c r="I147" s="14"/>
    </row>
    <row r="148" spans="1:11" x14ac:dyDescent="0.2">
      <c r="C148" s="13"/>
      <c r="D148" s="13"/>
      <c r="E148" s="13"/>
      <c r="F148" s="13"/>
      <c r="G148" s="13"/>
      <c r="H148" s="14"/>
      <c r="I148" s="14"/>
    </row>
    <row r="149" spans="1:11" x14ac:dyDescent="0.2">
      <c r="A149" s="1" t="s">
        <v>170</v>
      </c>
      <c r="C149" s="13">
        <f>6517455167</f>
        <v>6517455167</v>
      </c>
      <c r="D149" s="13">
        <f>1522239693</f>
        <v>1522239693</v>
      </c>
      <c r="E149" s="13"/>
      <c r="F149" s="13"/>
      <c r="G149" s="13"/>
      <c r="H149" s="14"/>
      <c r="I149" s="14">
        <f>SUM(C149:G149)</f>
        <v>8039694860</v>
      </c>
    </row>
    <row r="150" spans="1:11" x14ac:dyDescent="0.2">
      <c r="A150" s="1" t="s">
        <v>171</v>
      </c>
      <c r="B150" s="16" t="s">
        <v>73</v>
      </c>
      <c r="C150" s="13">
        <f>3553439973</f>
        <v>3553439973</v>
      </c>
      <c r="D150" s="13">
        <f>1057453932</f>
        <v>1057453932</v>
      </c>
      <c r="E150" s="13"/>
      <c r="F150" s="13"/>
      <c r="G150" s="13"/>
      <c r="H150" s="14">
        <f>SUM(C150:G150)</f>
        <v>4610893905</v>
      </c>
      <c r="I150" s="14"/>
      <c r="K150" s="1" t="s">
        <v>20</v>
      </c>
    </row>
    <row r="151" spans="1:11" x14ac:dyDescent="0.2">
      <c r="A151" s="1" t="s">
        <v>138</v>
      </c>
      <c r="B151" s="16" t="s">
        <v>172</v>
      </c>
      <c r="C151" s="13">
        <f>37902311</f>
        <v>37902311</v>
      </c>
      <c r="D151" s="13">
        <f>10979363</f>
        <v>10979363</v>
      </c>
      <c r="E151" s="13"/>
      <c r="F151" s="13"/>
      <c r="G151" s="13"/>
      <c r="H151" s="14">
        <f>SUM(C151:G151)</f>
        <v>48881674</v>
      </c>
      <c r="I151" s="14"/>
      <c r="K151" s="1" t="s">
        <v>173</v>
      </c>
    </row>
    <row r="152" spans="1:11" x14ac:dyDescent="0.2">
      <c r="A152" s="1" t="s">
        <v>25</v>
      </c>
      <c r="B152" s="16" t="s">
        <v>174</v>
      </c>
      <c r="C152" s="13">
        <f>92617901</f>
        <v>92617901</v>
      </c>
      <c r="D152" s="13">
        <f>35826418</f>
        <v>35826418</v>
      </c>
      <c r="E152" s="13"/>
      <c r="F152" s="13"/>
      <c r="G152" s="13"/>
      <c r="H152" s="14">
        <f>SUM(C152:G152)</f>
        <v>128444319</v>
      </c>
      <c r="I152" s="14"/>
      <c r="K152" s="18">
        <f>(H152+H153)/$J$13</f>
        <v>0.99056619696691617</v>
      </c>
    </row>
    <row r="153" spans="1:11" x14ac:dyDescent="0.2">
      <c r="A153" s="1" t="s">
        <v>175</v>
      </c>
      <c r="B153" s="16" t="s">
        <v>176</v>
      </c>
      <c r="C153" s="13">
        <f>39228959</f>
        <v>39228959</v>
      </c>
      <c r="D153" s="13">
        <f>2522127</f>
        <v>2522127</v>
      </c>
      <c r="E153" s="13"/>
      <c r="F153" s="13"/>
      <c r="G153" s="13"/>
      <c r="H153" s="14">
        <f>SUM(C153:G153)</f>
        <v>41751086</v>
      </c>
      <c r="I153" s="14"/>
      <c r="K153" s="32">
        <f>K152+K137+K13</f>
        <v>1</v>
      </c>
    </row>
    <row r="154" spans="1:11" x14ac:dyDescent="0.2">
      <c r="B154" s="16"/>
      <c r="C154" s="13"/>
      <c r="D154" s="13"/>
      <c r="E154" s="13"/>
      <c r="F154" s="13"/>
      <c r="G154" s="13"/>
      <c r="H154" s="14"/>
      <c r="I154" s="14"/>
    </row>
    <row r="155" spans="1:11" x14ac:dyDescent="0.2">
      <c r="A155" s="1" t="s">
        <v>177</v>
      </c>
      <c r="C155" s="13">
        <f>191835076</f>
        <v>191835076</v>
      </c>
      <c r="D155" s="13">
        <f>141943933</f>
        <v>141943933</v>
      </c>
      <c r="E155" s="13"/>
      <c r="F155" s="13"/>
      <c r="G155" s="13"/>
      <c r="H155" s="14"/>
      <c r="I155" s="14">
        <f>SUM(C155:G155)</f>
        <v>333779009</v>
      </c>
    </row>
    <row r="156" spans="1:11" x14ac:dyDescent="0.2">
      <c r="A156" s="1" t="s">
        <v>178</v>
      </c>
      <c r="B156" s="16" t="s">
        <v>33</v>
      </c>
      <c r="C156" s="13">
        <f>65636004</f>
        <v>65636004</v>
      </c>
      <c r="D156" s="13">
        <f>39235465</f>
        <v>39235465</v>
      </c>
      <c r="E156" s="13"/>
      <c r="F156" s="13"/>
      <c r="G156" s="13"/>
      <c r="H156" s="14">
        <f>SUM(C156:G156)</f>
        <v>104871469</v>
      </c>
      <c r="I156" s="14"/>
    </row>
    <row r="157" spans="1:11" x14ac:dyDescent="0.2">
      <c r="A157" s="1" t="s">
        <v>179</v>
      </c>
      <c r="B157" s="16" t="s">
        <v>180</v>
      </c>
      <c r="C157" s="13">
        <f>4331793</f>
        <v>4331793</v>
      </c>
      <c r="D157" s="13">
        <f>1223396</f>
        <v>1223396</v>
      </c>
      <c r="E157" s="13"/>
      <c r="F157" s="13"/>
      <c r="G157" s="13"/>
      <c r="H157" s="14">
        <f>SUM(C157:G157)</f>
        <v>5555189</v>
      </c>
      <c r="I157" s="14"/>
    </row>
    <row r="158" spans="1:11" x14ac:dyDescent="0.2">
      <c r="A158" s="1" t="s">
        <v>181</v>
      </c>
      <c r="B158" s="16" t="s">
        <v>182</v>
      </c>
      <c r="C158" s="13">
        <f>43193702</f>
        <v>43193702</v>
      </c>
      <c r="D158" s="13">
        <f>16856240</f>
        <v>16856240</v>
      </c>
      <c r="E158" s="13"/>
      <c r="F158" s="13"/>
      <c r="G158" s="13"/>
      <c r="H158" s="14">
        <f>SUM(C158:G158)</f>
        <v>60049942</v>
      </c>
      <c r="I158" s="14"/>
    </row>
    <row r="159" spans="1:11" x14ac:dyDescent="0.2">
      <c r="C159" s="13"/>
      <c r="D159" s="13"/>
      <c r="E159" s="13"/>
      <c r="F159" s="13"/>
      <c r="G159" s="13"/>
      <c r="H159" s="14"/>
      <c r="I159" s="14"/>
    </row>
    <row r="160" spans="1:11" x14ac:dyDescent="0.2">
      <c r="A160" s="20"/>
      <c r="B160" s="21"/>
      <c r="C160" s="22"/>
      <c r="D160" s="22"/>
      <c r="E160" s="22"/>
      <c r="F160" s="22"/>
      <c r="G160" s="22"/>
      <c r="H160" s="6" t="s">
        <v>1</v>
      </c>
      <c r="I160" s="6" t="s">
        <v>1</v>
      </c>
    </row>
    <row r="161" spans="1:9" x14ac:dyDescent="0.2">
      <c r="A161" s="23"/>
      <c r="B161" s="10"/>
      <c r="C161" s="24" t="s">
        <v>2</v>
      </c>
      <c r="D161" s="24" t="s">
        <v>3</v>
      </c>
      <c r="E161" s="2" t="s">
        <v>4</v>
      </c>
      <c r="F161" s="2"/>
      <c r="G161" s="24" t="s">
        <v>5</v>
      </c>
      <c r="H161" s="9" t="s">
        <v>6</v>
      </c>
      <c r="I161" s="9" t="s">
        <v>7</v>
      </c>
    </row>
    <row r="162" spans="1:9" x14ac:dyDescent="0.2">
      <c r="A162" s="11" t="s">
        <v>8</v>
      </c>
      <c r="B162" s="12" t="s">
        <v>9</v>
      </c>
      <c r="C162" s="25" t="s">
        <v>10</v>
      </c>
      <c r="D162" s="25" t="s">
        <v>10</v>
      </c>
      <c r="E162" s="25" t="s">
        <v>11</v>
      </c>
      <c r="F162" s="25" t="s">
        <v>12</v>
      </c>
      <c r="G162" s="25" t="s">
        <v>11</v>
      </c>
      <c r="H162" s="12" t="s">
        <v>10</v>
      </c>
      <c r="I162" s="12" t="s">
        <v>10</v>
      </c>
    </row>
    <row r="163" spans="1:9" x14ac:dyDescent="0.2">
      <c r="A163" s="1" t="s">
        <v>183</v>
      </c>
      <c r="C163" s="13">
        <f>158956035</f>
        <v>158956035</v>
      </c>
      <c r="D163" s="13">
        <f>139956402</f>
        <v>139956402</v>
      </c>
      <c r="E163" s="13"/>
      <c r="F163" s="13"/>
      <c r="G163" s="13"/>
      <c r="H163" s="14"/>
      <c r="I163" s="14">
        <f>SUM(C163:G163)</f>
        <v>298912437</v>
      </c>
    </row>
    <row r="164" spans="1:9" x14ac:dyDescent="0.2">
      <c r="A164" s="1" t="s">
        <v>184</v>
      </c>
      <c r="B164" s="16" t="s">
        <v>15</v>
      </c>
      <c r="C164" s="13">
        <f>5287790</f>
        <v>5287790</v>
      </c>
      <c r="D164" s="13">
        <f>2467292</f>
        <v>2467292</v>
      </c>
      <c r="E164" s="13"/>
      <c r="F164" s="13"/>
      <c r="G164" s="13"/>
      <c r="H164" s="14">
        <f>SUM(C164:G164)</f>
        <v>7755082</v>
      </c>
      <c r="I164" s="14"/>
    </row>
    <row r="165" spans="1:9" x14ac:dyDescent="0.2">
      <c r="A165" s="1" t="s">
        <v>185</v>
      </c>
      <c r="B165" s="16" t="s">
        <v>28</v>
      </c>
      <c r="C165" s="13">
        <f>85389951</f>
        <v>85389951</v>
      </c>
      <c r="D165" s="13">
        <f>38019773</f>
        <v>38019773</v>
      </c>
      <c r="E165" s="13"/>
      <c r="F165" s="13"/>
      <c r="G165" s="13"/>
      <c r="H165" s="14">
        <f>SUM(C165:G165)</f>
        <v>123409724</v>
      </c>
      <c r="I165" s="14"/>
    </row>
    <row r="166" spans="1:9" x14ac:dyDescent="0.2">
      <c r="C166" s="15"/>
      <c r="D166" s="15"/>
      <c r="E166" s="15"/>
      <c r="F166" s="15"/>
      <c r="G166" s="15"/>
      <c r="H166" s="14"/>
      <c r="I166" s="14"/>
    </row>
    <row r="167" spans="1:9" x14ac:dyDescent="0.2">
      <c r="A167" s="1" t="s">
        <v>186</v>
      </c>
      <c r="C167" s="13">
        <f>1027927141</f>
        <v>1027927141</v>
      </c>
      <c r="D167" s="13">
        <f>569189869+6379537</f>
        <v>575569406</v>
      </c>
      <c r="E167" s="13"/>
      <c r="F167" s="13"/>
      <c r="G167" s="13"/>
      <c r="H167" s="14"/>
      <c r="I167" s="14">
        <f>SUM(C167:G167)</f>
        <v>1603496547</v>
      </c>
    </row>
    <row r="168" spans="1:9" x14ac:dyDescent="0.2">
      <c r="A168" s="1" t="s">
        <v>187</v>
      </c>
      <c r="B168" s="16" t="s">
        <v>188</v>
      </c>
      <c r="C168" s="13">
        <f>22171245</f>
        <v>22171245</v>
      </c>
      <c r="D168" s="13">
        <f>19340712+213145</f>
        <v>19553857</v>
      </c>
      <c r="E168" s="13"/>
      <c r="F168" s="13"/>
      <c r="G168" s="13"/>
      <c r="H168" s="14">
        <f>SUM(C168:G168)</f>
        <v>41725102</v>
      </c>
      <c r="I168" s="14"/>
    </row>
    <row r="169" spans="1:9" x14ac:dyDescent="0.2">
      <c r="A169" s="1" t="s">
        <v>189</v>
      </c>
      <c r="B169" s="16" t="s">
        <v>190</v>
      </c>
      <c r="C169" s="13">
        <f>41403457</f>
        <v>41403457</v>
      </c>
      <c r="D169" s="13">
        <f>23284307+3085</f>
        <v>23287392</v>
      </c>
      <c r="E169" s="13"/>
      <c r="F169" s="13"/>
      <c r="G169" s="13"/>
      <c r="H169" s="14">
        <f>SUM(C169:G169)</f>
        <v>64690849</v>
      </c>
      <c r="I169" s="14"/>
    </row>
    <row r="170" spans="1:9" x14ac:dyDescent="0.2">
      <c r="A170" s="1" t="s">
        <v>191</v>
      </c>
      <c r="B170" s="16" t="s">
        <v>28</v>
      </c>
      <c r="C170" s="13">
        <f>192363178</f>
        <v>192363178</v>
      </c>
      <c r="D170" s="13">
        <f>164746851+28196</f>
        <v>164775047</v>
      </c>
      <c r="E170" s="13"/>
      <c r="F170" s="13"/>
      <c r="G170" s="13"/>
      <c r="H170" s="14">
        <f>SUM(C170:G170)</f>
        <v>357138225</v>
      </c>
      <c r="I170" s="14"/>
    </row>
    <row r="171" spans="1:9" x14ac:dyDescent="0.2">
      <c r="A171" s="1" t="s">
        <v>192</v>
      </c>
      <c r="B171" s="16" t="s">
        <v>193</v>
      </c>
      <c r="C171" s="13">
        <f>38439412</f>
        <v>38439412</v>
      </c>
      <c r="D171" s="13">
        <f>47744629</f>
        <v>47744629</v>
      </c>
      <c r="E171" s="13"/>
      <c r="F171" s="13"/>
      <c r="G171" s="13"/>
      <c r="H171" s="14">
        <f>SUM(C171:G171)</f>
        <v>86184041</v>
      </c>
      <c r="I171" s="14"/>
    </row>
    <row r="172" spans="1:9" x14ac:dyDescent="0.2">
      <c r="C172" s="13"/>
      <c r="D172" s="13"/>
      <c r="E172" s="13"/>
      <c r="F172" s="13"/>
      <c r="G172" s="13"/>
      <c r="H172" s="14"/>
      <c r="I172" s="14"/>
    </row>
    <row r="173" spans="1:9" x14ac:dyDescent="0.2">
      <c r="A173" s="1" t="s">
        <v>194</v>
      </c>
      <c r="C173" s="13">
        <f>186633639</f>
        <v>186633639</v>
      </c>
      <c r="D173" s="13">
        <f>289177040</f>
        <v>289177040</v>
      </c>
      <c r="E173" s="13"/>
      <c r="F173" s="13"/>
      <c r="G173" s="13"/>
      <c r="H173" s="14"/>
      <c r="I173" s="14">
        <f>SUM(C173:G173)</f>
        <v>475810679</v>
      </c>
    </row>
    <row r="174" spans="1:9" x14ac:dyDescent="0.2">
      <c r="A174" s="1" t="s">
        <v>195</v>
      </c>
      <c r="B174" s="16" t="s">
        <v>68</v>
      </c>
      <c r="C174" s="13">
        <f>444869</f>
        <v>444869</v>
      </c>
      <c r="D174" s="13">
        <f>2641994</f>
        <v>2641994</v>
      </c>
      <c r="E174" s="13"/>
      <c r="F174" s="13"/>
      <c r="G174" s="13"/>
      <c r="H174" s="14">
        <f>SUM(C174:G174)</f>
        <v>3086863</v>
      </c>
      <c r="I174" s="14"/>
    </row>
    <row r="175" spans="1:9" x14ac:dyDescent="0.2">
      <c r="A175" s="1" t="s">
        <v>196</v>
      </c>
      <c r="B175" s="16" t="s">
        <v>109</v>
      </c>
      <c r="C175" s="13">
        <f>6871403</f>
        <v>6871403</v>
      </c>
      <c r="D175" s="13">
        <f>22000234</f>
        <v>22000234</v>
      </c>
      <c r="E175" s="13"/>
      <c r="F175" s="13"/>
      <c r="G175" s="13"/>
      <c r="H175" s="14">
        <f>SUM(C175:G175)</f>
        <v>28871637</v>
      </c>
      <c r="I175" s="14"/>
    </row>
    <row r="176" spans="1:9" x14ac:dyDescent="0.2">
      <c r="A176" s="1" t="s">
        <v>197</v>
      </c>
      <c r="B176" s="16" t="s">
        <v>31</v>
      </c>
      <c r="C176" s="13">
        <f>17853031</f>
        <v>17853031</v>
      </c>
      <c r="D176" s="13">
        <f>32233809</f>
        <v>32233809</v>
      </c>
      <c r="E176" s="13"/>
      <c r="F176" s="13"/>
      <c r="G176" s="13"/>
      <c r="H176" s="14">
        <f>SUM(C176:G176)</f>
        <v>50086840</v>
      </c>
      <c r="I176" s="14"/>
    </row>
    <row r="177" spans="1:11" x14ac:dyDescent="0.2">
      <c r="A177" s="1" t="s">
        <v>198</v>
      </c>
      <c r="B177" s="16" t="s">
        <v>111</v>
      </c>
      <c r="C177" s="13">
        <f>5280066</f>
        <v>5280066</v>
      </c>
      <c r="D177" s="13">
        <f>4654180</f>
        <v>4654180</v>
      </c>
      <c r="E177" s="13"/>
      <c r="F177" s="13"/>
      <c r="G177" s="13"/>
      <c r="H177" s="14">
        <f>SUM(C177:G177)</f>
        <v>9934246</v>
      </c>
      <c r="I177" s="14"/>
    </row>
    <row r="178" spans="1:11" x14ac:dyDescent="0.2">
      <c r="A178" s="1" t="s">
        <v>199</v>
      </c>
      <c r="B178" s="16" t="s">
        <v>200</v>
      </c>
      <c r="C178" s="13">
        <f>861661</f>
        <v>861661</v>
      </c>
      <c r="D178" s="13">
        <f>1745844</f>
        <v>1745844</v>
      </c>
      <c r="E178" s="13"/>
      <c r="F178" s="13"/>
      <c r="G178" s="13"/>
      <c r="H178" s="14">
        <f>SUM(C178:G178)</f>
        <v>2607505</v>
      </c>
      <c r="I178" s="14"/>
    </row>
    <row r="179" spans="1:11" x14ac:dyDescent="0.2">
      <c r="C179" s="13"/>
      <c r="D179" s="13"/>
      <c r="E179" s="13"/>
      <c r="F179" s="13"/>
      <c r="G179" s="13"/>
      <c r="H179" s="14"/>
      <c r="I179" s="14"/>
    </row>
    <row r="180" spans="1:11" x14ac:dyDescent="0.2">
      <c r="A180" s="33" t="s">
        <v>201</v>
      </c>
      <c r="C180" s="13">
        <f>42464580</f>
        <v>42464580</v>
      </c>
      <c r="D180" s="13">
        <f>124656336</f>
        <v>124656336</v>
      </c>
      <c r="E180" s="30">
        <f>[1]Input!E1276</f>
        <v>3470688.7</v>
      </c>
      <c r="F180" s="13">
        <f>[1]Input!E1277</f>
        <v>868828.2</v>
      </c>
      <c r="G180" s="13"/>
      <c r="H180" s="15"/>
      <c r="I180" s="15">
        <f>SUM(C180:G180)</f>
        <v>171460432.89999998</v>
      </c>
      <c r="J180" s="17"/>
    </row>
    <row r="181" spans="1:11" x14ac:dyDescent="0.2">
      <c r="A181" s="1" t="s">
        <v>202</v>
      </c>
      <c r="B181" s="16" t="s">
        <v>28</v>
      </c>
      <c r="C181" s="13">
        <f>20016527</f>
        <v>20016527</v>
      </c>
      <c r="D181" s="13">
        <f>14988347</f>
        <v>14988347</v>
      </c>
      <c r="E181" s="13"/>
      <c r="F181" s="13"/>
      <c r="G181" s="13"/>
      <c r="H181" s="14">
        <f>SUM(C181:G181)</f>
        <v>35004874</v>
      </c>
      <c r="I181" s="14"/>
    </row>
    <row r="182" spans="1:11" x14ac:dyDescent="0.2">
      <c r="A182" s="1" t="s">
        <v>203</v>
      </c>
      <c r="B182" s="16" t="s">
        <v>204</v>
      </c>
      <c r="C182" s="13">
        <f>1038124</f>
        <v>1038124</v>
      </c>
      <c r="D182" s="13">
        <f>1422473</f>
        <v>1422473</v>
      </c>
      <c r="E182" s="13"/>
      <c r="F182" s="13"/>
      <c r="G182" s="13"/>
      <c r="H182" s="14">
        <f>SUM(C182:G182)</f>
        <v>2460597</v>
      </c>
      <c r="I182" s="14"/>
    </row>
    <row r="183" spans="1:11" x14ac:dyDescent="0.2">
      <c r="A183" s="1" t="s">
        <v>205</v>
      </c>
      <c r="B183" s="16" t="s">
        <v>206</v>
      </c>
      <c r="C183" s="13">
        <f>611118</f>
        <v>611118</v>
      </c>
      <c r="D183" s="13">
        <f>573900</f>
        <v>573900</v>
      </c>
      <c r="E183" s="13"/>
      <c r="F183" s="13"/>
      <c r="G183" s="13"/>
      <c r="H183" s="14">
        <f>SUM(C183:G183)</f>
        <v>1185018</v>
      </c>
      <c r="I183" s="14"/>
    </row>
    <row r="184" spans="1:11" x14ac:dyDescent="0.2">
      <c r="A184" s="1" t="s">
        <v>207</v>
      </c>
      <c r="B184" s="16" t="s">
        <v>208</v>
      </c>
      <c r="C184" s="13">
        <f>122477</f>
        <v>122477</v>
      </c>
      <c r="D184" s="13">
        <f>637108</f>
        <v>637108</v>
      </c>
      <c r="E184" s="13"/>
      <c r="F184" s="13"/>
      <c r="G184" s="13"/>
      <c r="H184" s="14">
        <f>SUM(C184:G184)</f>
        <v>759585</v>
      </c>
      <c r="I184" s="14"/>
    </row>
    <row r="185" spans="1:11" x14ac:dyDescent="0.2">
      <c r="C185" s="13"/>
      <c r="D185" s="13"/>
      <c r="E185" s="13"/>
      <c r="F185" s="13"/>
      <c r="G185" s="13"/>
      <c r="H185" s="14"/>
      <c r="I185" s="14"/>
    </row>
    <row r="186" spans="1:11" x14ac:dyDescent="0.2">
      <c r="A186" s="1" t="s">
        <v>209</v>
      </c>
      <c r="C186" s="13">
        <f>1141999422</f>
        <v>1141999422</v>
      </c>
      <c r="D186" s="13">
        <f>510650924</f>
        <v>510650924</v>
      </c>
      <c r="E186" s="13"/>
      <c r="F186" s="13"/>
      <c r="G186" s="13"/>
      <c r="H186" s="14"/>
      <c r="I186" s="14">
        <f>SUM(C186:G186)</f>
        <v>1652650346</v>
      </c>
    </row>
    <row r="187" spans="1:11" x14ac:dyDescent="0.2">
      <c r="A187" s="1" t="s">
        <v>210</v>
      </c>
      <c r="B187" s="16" t="s">
        <v>59</v>
      </c>
      <c r="C187" s="13">
        <f>80123558</f>
        <v>80123558</v>
      </c>
      <c r="D187" s="13">
        <f>72611024</f>
        <v>72611024</v>
      </c>
      <c r="E187" s="13"/>
      <c r="F187" s="13"/>
      <c r="G187" s="13"/>
      <c r="H187" s="14">
        <f>SUM(C187:G187)</f>
        <v>152734582</v>
      </c>
      <c r="I187" s="14"/>
    </row>
    <row r="188" spans="1:11" x14ac:dyDescent="0.2">
      <c r="A188" s="1" t="s">
        <v>211</v>
      </c>
      <c r="B188" s="16" t="s">
        <v>212</v>
      </c>
      <c r="C188" s="13">
        <f>89054789</f>
        <v>89054789</v>
      </c>
      <c r="D188" s="13">
        <f>15816902</f>
        <v>15816902</v>
      </c>
      <c r="E188" s="13"/>
      <c r="F188" s="13"/>
      <c r="G188" s="13"/>
      <c r="H188" s="14">
        <f>SUM(C188:G188)</f>
        <v>104871691</v>
      </c>
      <c r="I188" s="14"/>
    </row>
    <row r="189" spans="1:11" x14ac:dyDescent="0.2">
      <c r="A189" s="1" t="s">
        <v>213</v>
      </c>
      <c r="B189" s="16" t="s">
        <v>28</v>
      </c>
      <c r="C189" s="13">
        <f>325761538</f>
        <v>325761538</v>
      </c>
      <c r="D189" s="13">
        <f>135847513</f>
        <v>135847513</v>
      </c>
      <c r="E189" s="13"/>
      <c r="F189" s="13"/>
      <c r="G189" s="13"/>
      <c r="H189" s="14">
        <f>SUM(C189:G189)</f>
        <v>461609051</v>
      </c>
      <c r="I189" s="14"/>
    </row>
    <row r="190" spans="1:11" x14ac:dyDescent="0.2">
      <c r="A190" s="1" t="s">
        <v>214</v>
      </c>
      <c r="B190" s="16" t="s">
        <v>215</v>
      </c>
      <c r="C190" s="13">
        <f>62083575</f>
        <v>62083575</v>
      </c>
      <c r="D190" s="13">
        <f>6342636</f>
        <v>6342636</v>
      </c>
      <c r="E190" s="13"/>
      <c r="F190" s="13"/>
      <c r="G190" s="13"/>
      <c r="H190" s="14">
        <f>SUM(C190:G190)</f>
        <v>68426211</v>
      </c>
      <c r="I190"/>
    </row>
    <row r="191" spans="1:11" x14ac:dyDescent="0.2">
      <c r="A191" s="1" t="s">
        <v>216</v>
      </c>
      <c r="B191" s="16" t="s">
        <v>217</v>
      </c>
      <c r="C191" s="13">
        <f>81469932</f>
        <v>81469932</v>
      </c>
      <c r="D191" s="13">
        <v>11243545</v>
      </c>
      <c r="E191" s="13"/>
      <c r="F191" s="13"/>
      <c r="G191" s="13"/>
      <c r="H191" s="14">
        <f>SUM(C191:G191)</f>
        <v>92713477</v>
      </c>
      <c r="I191"/>
    </row>
    <row r="192" spans="1:11" x14ac:dyDescent="0.2">
      <c r="A192" s="34" t="s">
        <v>218</v>
      </c>
      <c r="B192" s="21" t="s">
        <v>219</v>
      </c>
      <c r="C192" s="35">
        <f>C8+C16+C19+C25+C29+C37+C43+C46+C56+C62+C68+C72+C76+C80+C87+C94+C96+C100+C103+C108+C113+C119+C123+C130+C139+C145+C149+C155+C163+C167+C173+C180+C186</f>
        <v>40732192803</v>
      </c>
      <c r="D192" s="35">
        <f>D8+D16+D19+D25+D29+D37+D43+D46+D56+D62+D68+D72+D76+D80+D87+D94+D96+D100+D103+D108+D113+D119+D123+D130+D139+D145+D149+D155+D163+D167+D173+D180+D186</f>
        <v>20490521493</v>
      </c>
      <c r="E192" s="35">
        <f>SUM(E8:E189)-E57-E58-E81-E82-E83-E140-E141-E142</f>
        <v>7305024478.4200001</v>
      </c>
      <c r="F192" s="35">
        <f>SUM(F8:F189)-F57-F58-F81-F82-F83-F140-F141-F142</f>
        <v>1736831292.1600003</v>
      </c>
      <c r="G192" s="35">
        <f>G8+G16+G19+G25+G29+G37+G43+G46+G56+G62+G68+G72+G76+G80+G87+G94+G96+G100+G103+G108+G113+G119+G123+G130+G139+G145+G149+G155+G163+G167+G173+G180+G186</f>
        <v>126072270</v>
      </c>
      <c r="H192" s="21"/>
      <c r="I192" s="35">
        <f>SUM(I8:I186)</f>
        <v>70390642336.579987</v>
      </c>
      <c r="J192" s="29">
        <f>+C192+D192+E192+F192+G192</f>
        <v>70390642336.580002</v>
      </c>
      <c r="K192" s="1" t="s">
        <v>220</v>
      </c>
    </row>
    <row r="193" spans="1:9" x14ac:dyDescent="0.2">
      <c r="A193" s="36" t="s">
        <v>218</v>
      </c>
      <c r="B193" s="37" t="s">
        <v>221</v>
      </c>
      <c r="C193" s="38">
        <f>SUM(C8:C191)-C192</f>
        <v>27981904882</v>
      </c>
      <c r="D193" s="38">
        <f>SUM(D8:D191)-D192</f>
        <v>9769256779</v>
      </c>
      <c r="E193" s="38">
        <f>SUM(E8:E191)-E192</f>
        <v>57588816.270000458</v>
      </c>
      <c r="F193" s="38">
        <f>SUM(F8:F191)-F192</f>
        <v>13217206.840000153</v>
      </c>
      <c r="G193" s="38">
        <f>SUM(G8:G191)-G192</f>
        <v>0</v>
      </c>
      <c r="H193" s="38">
        <f>SUM(H9:H191)</f>
        <v>37821967684.110001</v>
      </c>
      <c r="I193" s="37"/>
    </row>
    <row r="194" spans="1:9" x14ac:dyDescent="0.2">
      <c r="A194" s="39"/>
      <c r="B194" s="39"/>
      <c r="C194" s="39"/>
      <c r="D194" s="40"/>
      <c r="G194" s="29" t="s">
        <v>220</v>
      </c>
      <c r="H194" s="29">
        <f>+G193+F193+E193+D193+C193</f>
        <v>37821967684.110001</v>
      </c>
    </row>
    <row r="195" spans="1:9" x14ac:dyDescent="0.2">
      <c r="A195" s="40"/>
      <c r="C195" s="29">
        <v>35934821015</v>
      </c>
      <c r="D195" s="29">
        <v>18329455807</v>
      </c>
      <c r="E195" s="19">
        <v>5313419681.5199995</v>
      </c>
      <c r="F195" s="29">
        <v>1224319528.0700002</v>
      </c>
      <c r="G195" s="41" t="s">
        <v>222</v>
      </c>
      <c r="H195" s="40">
        <f>H194+I94</f>
        <v>38696935784.110001</v>
      </c>
      <c r="I195" s="39"/>
    </row>
    <row r="196" spans="1:9" ht="15" x14ac:dyDescent="0.25">
      <c r="A196" s="42" t="s">
        <v>223</v>
      </c>
      <c r="C196" s="43"/>
      <c r="D196" s="44"/>
      <c r="E196" s="44"/>
      <c r="F196" s="44"/>
      <c r="G196" s="44"/>
      <c r="H196" s="44"/>
      <c r="I196" s="44"/>
    </row>
    <row r="198" spans="1:9" x14ac:dyDescent="0.2">
      <c r="A198" s="49" t="s">
        <v>226</v>
      </c>
      <c r="B198" s="49"/>
      <c r="C198" s="49"/>
      <c r="D198" s="49"/>
      <c r="E198" s="49"/>
    </row>
    <row r="199" spans="1:9" x14ac:dyDescent="0.2">
      <c r="C199" s="19"/>
      <c r="D199" s="19"/>
      <c r="E199" s="19"/>
    </row>
    <row r="204" spans="1:9" x14ac:dyDescent="0.2">
      <c r="C204" s="19"/>
      <c r="D204" s="19"/>
      <c r="E204" s="19"/>
    </row>
    <row r="207" spans="1:9" x14ac:dyDescent="0.2">
      <c r="E207" s="19"/>
    </row>
  </sheetData>
  <pageMargins left="0.75" right="0.75" top="1" bottom="1" header="0.5" footer="0.5"/>
  <pageSetup scale="56" orientation="landscape" r:id="rId1"/>
  <headerFooter alignWithMargins="0"/>
  <rowBreaks count="3" manualBreakCount="3">
    <brk id="50" max="16383" man="1"/>
    <brk id="104" max="16383" man="1"/>
    <brk id="15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Debt Service Rate Setting</vt:lpstr>
      <vt:lpstr>'Debt Service Rate Setting'!Print_Area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Brenda Suazo-Giles</cp:lastModifiedBy>
  <dcterms:created xsi:type="dcterms:W3CDTF">2022-01-13T20:35:59Z</dcterms:created>
  <dcterms:modified xsi:type="dcterms:W3CDTF">2022-04-14T17:55:57Z</dcterms:modified>
</cp:coreProperties>
</file>