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Property Tax Facts\2022 Property Tax Facts\"/>
    </mc:Choice>
  </mc:AlternateContent>
  <xr:revisionPtr revIDLastSave="0" documentId="13_ncr:1_{0DDD9045-6A3A-4114-A616-154CBB106208}" xr6:coauthVersionLast="47" xr6:coauthVersionMax="47" xr10:uidLastSave="{00000000-0000-0000-0000-000000000000}"/>
  <bookViews>
    <workbookView xWindow="-120" yWindow="-120" windowWidth="29040" windowHeight="17520" tabRatio="891" activeTab="9" xr2:uid="{00000000-000D-0000-FFFF-FFFF00000000}"/>
  </bookViews>
  <sheets>
    <sheet name="table 1 &amp; 2" sheetId="3" r:id="rId1"/>
    <sheet name="Tables 3,4,&amp;5" sheetId="2" r:id="rId2"/>
    <sheet name="Tables 6 &amp; 7" sheetId="4" r:id="rId3"/>
    <sheet name="Table 8" sheetId="51" r:id="rId4"/>
    <sheet name="Tables 9 &amp; 10" sheetId="5" r:id="rId5"/>
    <sheet name="Tables 11 &amp; 12" sheetId="58" r:id="rId6"/>
    <sheet name="Tables 13 &amp; 14" sheetId="57" r:id="rId7"/>
    <sheet name="Tables 15 &amp; 16" sheetId="59" r:id="rId8"/>
    <sheet name="9" sheetId="49" state="hidden" r:id="rId9"/>
    <sheet name=" Table 17 part 1" sheetId="45" r:id="rId10"/>
    <sheet name="Table 17 part 2" sheetId="44" r:id="rId11"/>
    <sheet name="Table 18" sheetId="50" r:id="rId12"/>
    <sheet name="Table 19" sheetId="60" r:id="rId13"/>
    <sheet name="Table 20 part 1" sheetId="40" r:id="rId14"/>
    <sheet name="Table 20 part 2" sheetId="41" r:id="rId15"/>
    <sheet name="Table 21 part 1" sheetId="48" r:id="rId16"/>
    <sheet name="Table 21 part 2" sheetId="42" r:id="rId17"/>
    <sheet name="Table 22" sheetId="63" r:id="rId18"/>
  </sheets>
  <externalReferences>
    <externalReference r:id="rId19"/>
    <externalReference r:id="rId20"/>
    <externalReference r:id="rId21"/>
    <externalReference r:id="rId22"/>
  </externalReferences>
  <definedNames>
    <definedName name="\1">[1]CAVAL08!#REF!</definedName>
    <definedName name="\a">[1]CAVAL08!#REF!</definedName>
    <definedName name="\b">[1]CAVAL08!#REF!</definedName>
    <definedName name="\c">[1]CAVAL08!#REF!</definedName>
    <definedName name="\d">[1]CAVAL08!#REF!</definedName>
    <definedName name="\e">[1]CAVAL08!#REF!</definedName>
    <definedName name="\f">[1]CAVAL08!#REF!</definedName>
    <definedName name="\g">[1]CAVAL08!#REF!</definedName>
    <definedName name="\h">[1]CAVAL08!#REF!</definedName>
    <definedName name="\i">[1]CAVAL08!#REF!</definedName>
    <definedName name="\j">[1]CAVAL08!#REF!</definedName>
    <definedName name="\k">[1]CAVAL08!#REF!</definedName>
    <definedName name="\l">[1]CAVAL08!#REF!</definedName>
    <definedName name="\m">[1]CAVAL08!#REF!</definedName>
    <definedName name="\n">[1]CAVAL08!#REF!</definedName>
    <definedName name="\o">[1]CAVAL08!#REF!</definedName>
    <definedName name="\p">[1]CAVAL08!#REF!</definedName>
    <definedName name="\q">[1]CAVAL08!#REF!</definedName>
    <definedName name="\r">[1]CAVAL08!#REF!</definedName>
    <definedName name="\s">[1]CAVAL08!#REF!</definedName>
    <definedName name="\t">[1]CAVAL08!#REF!</definedName>
    <definedName name="\u">[1]CAVAL08!#REF!</definedName>
    <definedName name="\v">[1]CAVAL08!#REF!</definedName>
    <definedName name="\w">[1]CAVAL08!#REF!</definedName>
    <definedName name="\x">[1]CAVAL08!#REF!</definedName>
    <definedName name="\y">[1]CAVAL08!#REF!</definedName>
    <definedName name="\z">[1]CAVAL08!#REF!</definedName>
    <definedName name="_Fill" hidden="1">[1]CAVAL08!$BG$8:$BG$10</definedName>
    <definedName name="_GOTO_E7_">[1]CAVAL08!#REF!</definedName>
    <definedName name="AL">[2]Taos!$N$5</definedName>
    <definedName name="BERNALILLO_COUN">[1]CAVAL08!#REF!</definedName>
    <definedName name="Nonresidentialobl">[3]SanJuan!$B$5</definedName>
    <definedName name="_xlnm.Print_Area" localSheetId="9">' Table 17 part 1'!$B$1:$O$83</definedName>
    <definedName name="_xlnm.Print_Area" localSheetId="8">'9'!$C$1:$M$61</definedName>
    <definedName name="_xlnm.Print_Area" localSheetId="0">'table 1 &amp; 2'!$A$1:$H$90</definedName>
    <definedName name="_xlnm.Print_Area" localSheetId="10">'Table 17 part 2'!$B$1:$O$84</definedName>
    <definedName name="_xlnm.Print_Area" localSheetId="11">'Table 18'!$D$1:$L$57</definedName>
    <definedName name="_xlnm.Print_Area" localSheetId="12">'Table 19'!$B$2:$L$69</definedName>
    <definedName name="_xlnm.Print_Area" localSheetId="13">'Table 20 part 1'!$C$1:$K$65</definedName>
    <definedName name="_xlnm.Print_Area" localSheetId="14">'Table 20 part 2'!$C$1:$K$64</definedName>
    <definedName name="_xlnm.Print_Area" localSheetId="15">'Table 21 part 1'!$C$1:$J$66</definedName>
    <definedName name="_xlnm.Print_Area" localSheetId="16">'Table 21 part 2'!$C$1:$K$65</definedName>
    <definedName name="_xlnm.Print_Area" localSheetId="17">'Table 22'!$C$1:$O$95</definedName>
    <definedName name="_xlnm.Print_Area" localSheetId="3">'Table 8'!$B$1:$G$46</definedName>
    <definedName name="_xlnm.Print_Area" localSheetId="5">'Tables 11 &amp; 12'!$B$1:$N$85</definedName>
    <definedName name="_xlnm.Print_Area" localSheetId="6">'Tables 13 &amp; 14'!$B$1:$I$86</definedName>
    <definedName name="_xlnm.Print_Area" localSheetId="7">'Tables 15 &amp; 16'!$B$1:$Y$85</definedName>
    <definedName name="_xlnm.Print_Area" localSheetId="1">'Tables 3,4,&amp;5'!$B$1:$J$94</definedName>
    <definedName name="_xlnm.Print_Area" localSheetId="2">'Tables 6 &amp; 7'!$B$3:$G$93</definedName>
    <definedName name="_xlnm.Print_Area" localSheetId="4">'Tables 9 &amp; 10'!$B$1:$J$79</definedName>
    <definedName name="_xlnm.Print_Area">[1]CAVAL08!$A$1:$EF$78</definedName>
    <definedName name="PRINT_AREA_MI">[1]CAVAL08!$A$1:$EF$78</definedName>
    <definedName name="Residentialobl">[3]SanJuan!$B$4</definedName>
    <definedName name="Table1">[4]Tables!$F$5:$O$49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2" l="1"/>
  <c r="C58" i="2"/>
  <c r="E46" i="2"/>
  <c r="D52" i="2"/>
  <c r="C52" i="2"/>
  <c r="C10" i="2"/>
  <c r="C11" i="2"/>
  <c r="C12" i="2"/>
  <c r="C13" i="2"/>
  <c r="K68" i="63"/>
  <c r="D10" i="63"/>
  <c r="D61" i="42"/>
  <c r="J61" i="42"/>
  <c r="G61" i="42"/>
  <c r="I61" i="42"/>
  <c r="H61" i="42"/>
  <c r="F61" i="42"/>
  <c r="E61" i="42"/>
  <c r="Q5" i="44" l="1"/>
  <c r="AL6" i="45"/>
  <c r="AK6" i="45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30" i="2"/>
  <c r="E30" i="2"/>
  <c r="D30" i="2"/>
  <c r="E27" i="2"/>
  <c r="F27" i="2"/>
  <c r="F14" i="2"/>
  <c r="E14" i="2"/>
  <c r="D14" i="2"/>
  <c r="D18" i="2"/>
  <c r="D27" i="2"/>
  <c r="F24" i="2"/>
  <c r="E24" i="2"/>
  <c r="D24" i="2"/>
  <c r="F18" i="2"/>
  <c r="E18" i="2"/>
  <c r="J64" i="60"/>
  <c r="I64" i="60"/>
  <c r="C8" i="57"/>
  <c r="L78" i="5"/>
  <c r="L73" i="5"/>
  <c r="I42" i="5"/>
  <c r="H42" i="5"/>
  <c r="F42" i="5"/>
  <c r="E42" i="5"/>
  <c r="I41" i="5"/>
  <c r="H41" i="5"/>
  <c r="F41" i="5"/>
  <c r="E41" i="5"/>
  <c r="I40" i="5"/>
  <c r="H40" i="5"/>
  <c r="F40" i="5"/>
  <c r="E40" i="5"/>
  <c r="I39" i="5"/>
  <c r="H39" i="5"/>
  <c r="F39" i="5"/>
  <c r="E39" i="5"/>
  <c r="I38" i="5"/>
  <c r="H38" i="5"/>
  <c r="F38" i="5"/>
  <c r="E38" i="5"/>
  <c r="I37" i="5"/>
  <c r="H37" i="5"/>
  <c r="F37" i="5"/>
  <c r="E37" i="5"/>
  <c r="I36" i="5"/>
  <c r="H36" i="5"/>
  <c r="F36" i="5"/>
  <c r="E36" i="5"/>
  <c r="I35" i="5"/>
  <c r="H35" i="5"/>
  <c r="F35" i="5"/>
  <c r="E35" i="5"/>
  <c r="I34" i="5"/>
  <c r="H34" i="5"/>
  <c r="F34" i="5"/>
  <c r="E34" i="5"/>
  <c r="I33" i="5"/>
  <c r="H33" i="5"/>
  <c r="F33" i="5"/>
  <c r="E33" i="5"/>
  <c r="I32" i="5"/>
  <c r="H32" i="5"/>
  <c r="F32" i="5"/>
  <c r="E32" i="5"/>
  <c r="I31" i="5"/>
  <c r="H31" i="5"/>
  <c r="F31" i="5"/>
  <c r="E31" i="5"/>
  <c r="I30" i="5"/>
  <c r="H30" i="5"/>
  <c r="F30" i="5"/>
  <c r="E30" i="5"/>
  <c r="I29" i="5"/>
  <c r="H29" i="5"/>
  <c r="F29" i="5"/>
  <c r="E29" i="5"/>
  <c r="I28" i="5"/>
  <c r="H28" i="5"/>
  <c r="F28" i="5"/>
  <c r="E28" i="5"/>
  <c r="I27" i="5"/>
  <c r="H27" i="5"/>
  <c r="F27" i="5"/>
  <c r="E27" i="5"/>
  <c r="I26" i="5"/>
  <c r="H26" i="5"/>
  <c r="F26" i="5"/>
  <c r="E26" i="5"/>
  <c r="I25" i="5"/>
  <c r="H25" i="5"/>
  <c r="F25" i="5"/>
  <c r="E25" i="5"/>
  <c r="I24" i="5"/>
  <c r="H24" i="5"/>
  <c r="F24" i="5"/>
  <c r="E24" i="5"/>
  <c r="I23" i="5"/>
  <c r="H23" i="5"/>
  <c r="F23" i="5"/>
  <c r="E23" i="5"/>
  <c r="I22" i="5"/>
  <c r="H22" i="5"/>
  <c r="F22" i="5"/>
  <c r="E22" i="5"/>
  <c r="I21" i="5"/>
  <c r="H21" i="5"/>
  <c r="F21" i="5"/>
  <c r="E21" i="5"/>
  <c r="I20" i="5"/>
  <c r="H20" i="5"/>
  <c r="F20" i="5"/>
  <c r="E20" i="5"/>
  <c r="I19" i="5"/>
  <c r="H19" i="5"/>
  <c r="F19" i="5"/>
  <c r="E19" i="5"/>
  <c r="I18" i="5"/>
  <c r="H18" i="5"/>
  <c r="F18" i="5"/>
  <c r="E18" i="5"/>
  <c r="I17" i="5"/>
  <c r="H17" i="5"/>
  <c r="F17" i="5"/>
  <c r="E17" i="5"/>
  <c r="I16" i="5"/>
  <c r="H16" i="5"/>
  <c r="F16" i="5"/>
  <c r="E16" i="5"/>
  <c r="I15" i="5"/>
  <c r="H15" i="5"/>
  <c r="F15" i="5"/>
  <c r="E15" i="5"/>
  <c r="I14" i="5"/>
  <c r="H14" i="5"/>
  <c r="F14" i="5"/>
  <c r="E14" i="5"/>
  <c r="I13" i="5"/>
  <c r="H13" i="5"/>
  <c r="I11" i="5"/>
  <c r="H11" i="5"/>
  <c r="I10" i="5"/>
  <c r="H10" i="5"/>
  <c r="F13" i="5"/>
  <c r="E13" i="5"/>
  <c r="I12" i="5"/>
  <c r="H12" i="5"/>
  <c r="F12" i="5"/>
  <c r="E12" i="5"/>
  <c r="F11" i="5"/>
  <c r="E11" i="5"/>
  <c r="F10" i="5"/>
  <c r="E10" i="5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E44" i="4" s="1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D44" i="4" s="1"/>
  <c r="C13" i="4"/>
  <c r="C44" i="4" s="1"/>
  <c r="D12" i="4"/>
  <c r="C12" i="4"/>
  <c r="D11" i="4"/>
  <c r="C11" i="4"/>
  <c r="D10" i="4"/>
  <c r="C10" i="4"/>
  <c r="F44" i="4" l="1"/>
  <c r="D32" i="2"/>
  <c r="E32" i="2"/>
  <c r="F32" i="2"/>
  <c r="I41" i="57"/>
  <c r="H41" i="57"/>
  <c r="G41" i="57"/>
  <c r="F41" i="57"/>
  <c r="E41" i="57"/>
  <c r="D41" i="57"/>
  <c r="C41" i="57"/>
  <c r="I40" i="57"/>
  <c r="H40" i="57"/>
  <c r="G40" i="57"/>
  <c r="F40" i="57"/>
  <c r="E40" i="57"/>
  <c r="D40" i="57"/>
  <c r="C40" i="57"/>
  <c r="I39" i="57"/>
  <c r="H39" i="57"/>
  <c r="G39" i="57"/>
  <c r="F39" i="57"/>
  <c r="E39" i="57"/>
  <c r="D39" i="57"/>
  <c r="C39" i="57"/>
  <c r="I38" i="57"/>
  <c r="H38" i="57"/>
  <c r="G38" i="57"/>
  <c r="F38" i="57"/>
  <c r="E38" i="57"/>
  <c r="D38" i="57"/>
  <c r="C38" i="57"/>
  <c r="I37" i="57"/>
  <c r="H37" i="57"/>
  <c r="G37" i="57"/>
  <c r="F37" i="57"/>
  <c r="E37" i="57"/>
  <c r="D37" i="57"/>
  <c r="C37" i="57"/>
  <c r="I36" i="57"/>
  <c r="H36" i="57"/>
  <c r="G36" i="57"/>
  <c r="F36" i="57"/>
  <c r="E36" i="57"/>
  <c r="D36" i="57"/>
  <c r="C36" i="57"/>
  <c r="I35" i="57"/>
  <c r="H35" i="57"/>
  <c r="G35" i="57"/>
  <c r="F35" i="57"/>
  <c r="E35" i="57"/>
  <c r="D35" i="57"/>
  <c r="C35" i="57"/>
  <c r="I34" i="57"/>
  <c r="H34" i="57"/>
  <c r="G34" i="57"/>
  <c r="F34" i="57"/>
  <c r="E34" i="57"/>
  <c r="D34" i="57"/>
  <c r="C34" i="57"/>
  <c r="I33" i="57"/>
  <c r="H33" i="57"/>
  <c r="G33" i="57"/>
  <c r="F33" i="57"/>
  <c r="E33" i="57"/>
  <c r="D33" i="57"/>
  <c r="C33" i="57"/>
  <c r="I32" i="57"/>
  <c r="H32" i="57"/>
  <c r="G32" i="57"/>
  <c r="F32" i="57"/>
  <c r="E32" i="57"/>
  <c r="D32" i="57"/>
  <c r="C32" i="57"/>
  <c r="I31" i="57"/>
  <c r="H31" i="57"/>
  <c r="G31" i="57"/>
  <c r="F31" i="57"/>
  <c r="E31" i="57"/>
  <c r="D31" i="57"/>
  <c r="C31" i="57"/>
  <c r="I30" i="57"/>
  <c r="H30" i="57"/>
  <c r="G30" i="57"/>
  <c r="F30" i="57"/>
  <c r="E30" i="57"/>
  <c r="D30" i="57"/>
  <c r="C30" i="57"/>
  <c r="I29" i="57"/>
  <c r="H29" i="57"/>
  <c r="G29" i="57"/>
  <c r="F29" i="57"/>
  <c r="E29" i="57"/>
  <c r="D29" i="57"/>
  <c r="C29" i="57"/>
  <c r="I28" i="57"/>
  <c r="H28" i="57"/>
  <c r="G28" i="57"/>
  <c r="F28" i="57"/>
  <c r="E28" i="57"/>
  <c r="D28" i="57"/>
  <c r="C28" i="57"/>
  <c r="I27" i="57"/>
  <c r="H27" i="57"/>
  <c r="G27" i="57"/>
  <c r="F27" i="57"/>
  <c r="E27" i="57"/>
  <c r="D27" i="57"/>
  <c r="C27" i="57"/>
  <c r="I26" i="57"/>
  <c r="H26" i="57"/>
  <c r="G26" i="57"/>
  <c r="F26" i="57"/>
  <c r="E26" i="57"/>
  <c r="D26" i="57"/>
  <c r="C26" i="57"/>
  <c r="I25" i="57"/>
  <c r="H25" i="57"/>
  <c r="G25" i="57"/>
  <c r="F25" i="57"/>
  <c r="E25" i="57"/>
  <c r="D25" i="57"/>
  <c r="C25" i="57"/>
  <c r="I24" i="57"/>
  <c r="H24" i="57"/>
  <c r="G24" i="57"/>
  <c r="F24" i="57"/>
  <c r="E24" i="57"/>
  <c r="D24" i="57"/>
  <c r="C24" i="57"/>
  <c r="I23" i="57"/>
  <c r="H23" i="57"/>
  <c r="G23" i="57"/>
  <c r="F23" i="57"/>
  <c r="E23" i="57"/>
  <c r="D23" i="57"/>
  <c r="C23" i="57"/>
  <c r="I22" i="57"/>
  <c r="H22" i="57"/>
  <c r="G22" i="57"/>
  <c r="F22" i="57"/>
  <c r="E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22" i="57"/>
  <c r="D22" i="57"/>
  <c r="I21" i="57"/>
  <c r="H21" i="57"/>
  <c r="G21" i="57"/>
  <c r="F21" i="57"/>
  <c r="E21" i="57"/>
  <c r="D21" i="57"/>
  <c r="I20" i="57"/>
  <c r="H20" i="57"/>
  <c r="G20" i="57"/>
  <c r="F20" i="57"/>
  <c r="E20" i="57"/>
  <c r="D20" i="57"/>
  <c r="I19" i="57"/>
  <c r="H19" i="57"/>
  <c r="G19" i="57"/>
  <c r="F19" i="57"/>
  <c r="E19" i="57"/>
  <c r="D19" i="57"/>
  <c r="I18" i="57"/>
  <c r="H18" i="57"/>
  <c r="G18" i="57"/>
  <c r="F18" i="57"/>
  <c r="E18" i="57"/>
  <c r="D18" i="57"/>
  <c r="I17" i="57"/>
  <c r="H17" i="57"/>
  <c r="G17" i="57"/>
  <c r="F17" i="57"/>
  <c r="E17" i="57"/>
  <c r="D17" i="57"/>
  <c r="I16" i="57"/>
  <c r="H16" i="57"/>
  <c r="G16" i="57"/>
  <c r="F16" i="57"/>
  <c r="E16" i="57"/>
  <c r="D16" i="57"/>
  <c r="I15" i="57"/>
  <c r="H15" i="57"/>
  <c r="G15" i="57"/>
  <c r="F15" i="57"/>
  <c r="E15" i="57"/>
  <c r="D15" i="57"/>
  <c r="I14" i="57"/>
  <c r="H14" i="57"/>
  <c r="G14" i="57"/>
  <c r="F14" i="57"/>
  <c r="E14" i="57"/>
  <c r="D14" i="57"/>
  <c r="I13" i="57"/>
  <c r="H13" i="57"/>
  <c r="G13" i="57"/>
  <c r="F13" i="57"/>
  <c r="E13" i="57"/>
  <c r="D13" i="57"/>
  <c r="I12" i="57"/>
  <c r="H12" i="57"/>
  <c r="G12" i="57"/>
  <c r="F12" i="57"/>
  <c r="E12" i="57"/>
  <c r="D12" i="57"/>
  <c r="I11" i="57"/>
  <c r="H11" i="57"/>
  <c r="G11" i="57"/>
  <c r="F11" i="57"/>
  <c r="E11" i="57"/>
  <c r="D11" i="57"/>
  <c r="I10" i="57"/>
  <c r="H10" i="57"/>
  <c r="G10" i="57"/>
  <c r="F10" i="57"/>
  <c r="E10" i="57"/>
  <c r="D10" i="57"/>
  <c r="I9" i="57"/>
  <c r="H9" i="57"/>
  <c r="G9" i="57"/>
  <c r="F9" i="57"/>
  <c r="E9" i="57"/>
  <c r="D9" i="57"/>
  <c r="I8" i="57"/>
  <c r="H8" i="57"/>
  <c r="G8" i="57"/>
  <c r="F8" i="57"/>
  <c r="E8" i="57"/>
  <c r="D8" i="57"/>
  <c r="M40" i="58"/>
  <c r="M39" i="58"/>
  <c r="M38" i="58"/>
  <c r="M37" i="58"/>
  <c r="M36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L40" i="58"/>
  <c r="L39" i="58"/>
  <c r="L38" i="58"/>
  <c r="L37" i="58"/>
  <c r="L36" i="58"/>
  <c r="L35" i="58"/>
  <c r="L34" i="58"/>
  <c r="L33" i="58"/>
  <c r="L32" i="58"/>
  <c r="L31" i="58"/>
  <c r="L30" i="58"/>
  <c r="L29" i="58"/>
  <c r="L28" i="58"/>
  <c r="L27" i="58"/>
  <c r="L26" i="58"/>
  <c r="L25" i="58"/>
  <c r="L24" i="58"/>
  <c r="L23" i="58"/>
  <c r="L22" i="5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K40" i="58"/>
  <c r="K39" i="58"/>
  <c r="K38" i="58"/>
  <c r="K37" i="58"/>
  <c r="K36" i="58"/>
  <c r="K35" i="58"/>
  <c r="K34" i="58"/>
  <c r="K33" i="58"/>
  <c r="K32" i="58"/>
  <c r="K31" i="58"/>
  <c r="K30" i="58"/>
  <c r="K29" i="58"/>
  <c r="K28" i="58"/>
  <c r="K27" i="58"/>
  <c r="K26" i="58"/>
  <c r="K25" i="58"/>
  <c r="K24" i="58"/>
  <c r="K23" i="58"/>
  <c r="K22" i="5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I24" i="51" l="1"/>
  <c r="I18" i="51"/>
  <c r="K18" i="51" s="1"/>
  <c r="I16" i="51"/>
  <c r="I13" i="51"/>
  <c r="I11" i="51"/>
  <c r="H116" i="40" l="1"/>
  <c r="H115" i="40"/>
  <c r="I102" i="40"/>
  <c r="D123" i="40"/>
  <c r="D61" i="41" l="1"/>
  <c r="J61" i="41"/>
  <c r="I61" i="41"/>
  <c r="H61" i="41"/>
  <c r="G61" i="41"/>
  <c r="F61" i="41"/>
  <c r="E61" i="41"/>
  <c r="E82" i="2" l="1"/>
  <c r="D83" i="2" s="1"/>
  <c r="E80" i="2"/>
  <c r="D81" i="2" s="1"/>
  <c r="C83" i="2" l="1"/>
  <c r="E83" i="2" s="1"/>
  <c r="C81" i="2"/>
  <c r="E81" i="2" s="1"/>
  <c r="F60" i="2"/>
  <c r="E51" i="2"/>
  <c r="D53" i="2"/>
  <c r="D19" i="63" l="1"/>
  <c r="J14" i="48"/>
  <c r="G9" i="48"/>
  <c r="J13" i="40"/>
  <c r="AF116" i="40" l="1"/>
  <c r="E70" i="5" l="1"/>
  <c r="L63" i="63" l="1"/>
  <c r="M63" i="63"/>
  <c r="N63" i="63"/>
  <c r="O63" i="63"/>
  <c r="AC116" i="40" l="1"/>
  <c r="AH111" i="40" s="1"/>
  <c r="G60" i="41" l="1"/>
  <c r="N11" i="60"/>
  <c r="N10" i="60"/>
  <c r="N12" i="60" s="1"/>
  <c r="K64" i="60"/>
  <c r="L64" i="60"/>
  <c r="M20" i="5" l="1"/>
  <c r="M10" i="5"/>
  <c r="M56" i="5" s="1"/>
  <c r="H11" i="3" l="1"/>
  <c r="E9" i="3"/>
  <c r="B9" i="3" s="1"/>
  <c r="J59" i="48" l="1"/>
  <c r="M41" i="58" l="1"/>
  <c r="C41" i="58"/>
  <c r="H18" i="3" l="1"/>
  <c r="D58" i="2" l="1"/>
  <c r="T14" i="40" l="1"/>
  <c r="S14" i="40"/>
  <c r="T13" i="40"/>
  <c r="S13" i="40"/>
  <c r="T12" i="40"/>
  <c r="S12" i="40"/>
  <c r="T11" i="40"/>
  <c r="S11" i="40"/>
  <c r="T10" i="40"/>
  <c r="S10" i="40"/>
  <c r="AG116" i="40"/>
  <c r="R5" i="44" l="1"/>
  <c r="L41" i="58"/>
  <c r="K41" i="58"/>
  <c r="I41" i="58"/>
  <c r="G41" i="58"/>
  <c r="E41" i="58"/>
  <c r="H17" i="3" l="1"/>
  <c r="N39" i="58" l="1"/>
  <c r="F66" i="2"/>
  <c r="F67" i="2" s="1"/>
  <c r="F65" i="2"/>
  <c r="E66" i="2"/>
  <c r="E65" i="2"/>
  <c r="D66" i="2"/>
  <c r="D65" i="2"/>
  <c r="F61" i="2"/>
  <c r="F59" i="2"/>
  <c r="F57" i="2"/>
  <c r="E61" i="2"/>
  <c r="E60" i="2"/>
  <c r="E59" i="2"/>
  <c r="E58" i="2"/>
  <c r="E57" i="2"/>
  <c r="D61" i="2"/>
  <c r="D60" i="2"/>
  <c r="D59" i="2"/>
  <c r="D57" i="2"/>
  <c r="F53" i="2"/>
  <c r="F52" i="2"/>
  <c r="F51" i="2"/>
  <c r="E53" i="2"/>
  <c r="E52" i="2"/>
  <c r="E54" i="2" s="1"/>
  <c r="D51" i="2"/>
  <c r="F42" i="2"/>
  <c r="E42" i="2"/>
  <c r="D42" i="2"/>
  <c r="M17" i="5"/>
  <c r="M63" i="5" s="1"/>
  <c r="M11" i="5"/>
  <c r="M57" i="5" s="1"/>
  <c r="M12" i="5"/>
  <c r="M58" i="5" s="1"/>
  <c r="M13" i="5"/>
  <c r="M59" i="5" s="1"/>
  <c r="M14" i="5"/>
  <c r="M60" i="5" s="1"/>
  <c r="M15" i="5"/>
  <c r="M61" i="5" s="1"/>
  <c r="M16" i="5"/>
  <c r="M62" i="5" s="1"/>
  <c r="M18" i="5"/>
  <c r="M64" i="5" s="1"/>
  <c r="M19" i="5"/>
  <c r="M65" i="5" s="1"/>
  <c r="M66" i="5"/>
  <c r="M21" i="5"/>
  <c r="M67" i="5" s="1"/>
  <c r="M22" i="5"/>
  <c r="M68" i="5" s="1"/>
  <c r="M23" i="5"/>
  <c r="M69" i="5" s="1"/>
  <c r="M24" i="5"/>
  <c r="M70" i="5" s="1"/>
  <c r="M25" i="5"/>
  <c r="M71" i="5" s="1"/>
  <c r="M26" i="5"/>
  <c r="M72" i="5" s="1"/>
  <c r="M27" i="5"/>
  <c r="Q56" i="5" s="1"/>
  <c r="M28" i="5"/>
  <c r="Q57" i="5" s="1"/>
  <c r="M29" i="5"/>
  <c r="Q58" i="5" s="1"/>
  <c r="M30" i="5"/>
  <c r="Q59" i="5" s="1"/>
  <c r="M31" i="5"/>
  <c r="Q60" i="5" s="1"/>
  <c r="M32" i="5"/>
  <c r="Q61" i="5" s="1"/>
  <c r="M33" i="5"/>
  <c r="Q62" i="5" s="1"/>
  <c r="M34" i="5"/>
  <c r="Q63" i="5" s="1"/>
  <c r="M35" i="5"/>
  <c r="Q64" i="5" s="1"/>
  <c r="M36" i="5"/>
  <c r="Q65" i="5" s="1"/>
  <c r="M37" i="5"/>
  <c r="Q66" i="5" s="1"/>
  <c r="M38" i="5"/>
  <c r="Q67" i="5" s="1"/>
  <c r="M39" i="5"/>
  <c r="Q68" i="5" s="1"/>
  <c r="M40" i="5"/>
  <c r="Q69" i="5" s="1"/>
  <c r="M41" i="5"/>
  <c r="Q70" i="5" s="1"/>
  <c r="M42" i="5"/>
  <c r="Q71" i="5" s="1"/>
  <c r="F2" i="63"/>
  <c r="K5" i="63" s="1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F2" i="42"/>
  <c r="I5" i="42" s="1"/>
  <c r="F2" i="48"/>
  <c r="I5" i="48" s="1"/>
  <c r="F2" i="41"/>
  <c r="G5" i="41" s="1"/>
  <c r="J61" i="40"/>
  <c r="G61" i="40"/>
  <c r="F2" i="40"/>
  <c r="F5" i="40" s="1"/>
  <c r="E3" i="60"/>
  <c r="I6" i="60" s="1"/>
  <c r="H2" i="50"/>
  <c r="G2" i="44"/>
  <c r="G2" i="45"/>
  <c r="G5" i="45" s="1"/>
  <c r="E2" i="59"/>
  <c r="H44" i="59" s="1"/>
  <c r="F8" i="58"/>
  <c r="H8" i="58"/>
  <c r="J8" i="58"/>
  <c r="F9" i="58"/>
  <c r="H9" i="58"/>
  <c r="J9" i="58"/>
  <c r="F10" i="58"/>
  <c r="H10" i="58"/>
  <c r="J10" i="58"/>
  <c r="F11" i="58"/>
  <c r="H11" i="58"/>
  <c r="J11" i="58"/>
  <c r="F12" i="58"/>
  <c r="H12" i="58"/>
  <c r="J12" i="58"/>
  <c r="F13" i="58"/>
  <c r="H13" i="58"/>
  <c r="J13" i="58"/>
  <c r="F14" i="58"/>
  <c r="H14" i="58"/>
  <c r="J14" i="58"/>
  <c r="F15" i="58"/>
  <c r="H15" i="58"/>
  <c r="J15" i="58"/>
  <c r="F16" i="58"/>
  <c r="H16" i="58"/>
  <c r="J16" i="58"/>
  <c r="F17" i="58"/>
  <c r="H17" i="58"/>
  <c r="J17" i="58"/>
  <c r="F18" i="58"/>
  <c r="H18" i="58"/>
  <c r="J18" i="58"/>
  <c r="F19" i="58"/>
  <c r="H19" i="58"/>
  <c r="J19" i="58"/>
  <c r="F20" i="58"/>
  <c r="H20" i="58"/>
  <c r="J20" i="58"/>
  <c r="F21" i="58"/>
  <c r="H21" i="58"/>
  <c r="J21" i="58"/>
  <c r="F22" i="58"/>
  <c r="H22" i="58"/>
  <c r="J22" i="58"/>
  <c r="F23" i="58"/>
  <c r="H23" i="58"/>
  <c r="J23" i="58"/>
  <c r="F24" i="58"/>
  <c r="H24" i="58"/>
  <c r="J24" i="58"/>
  <c r="F25" i="58"/>
  <c r="H25" i="58"/>
  <c r="J25" i="58"/>
  <c r="F26" i="58"/>
  <c r="H26" i="58"/>
  <c r="J26" i="58"/>
  <c r="F27" i="58"/>
  <c r="H27" i="58"/>
  <c r="J27" i="58"/>
  <c r="F28" i="58"/>
  <c r="H28" i="58"/>
  <c r="J28" i="58"/>
  <c r="F29" i="58"/>
  <c r="H29" i="58"/>
  <c r="J29" i="58"/>
  <c r="F30" i="58"/>
  <c r="H30" i="58"/>
  <c r="J30" i="58"/>
  <c r="F31" i="58"/>
  <c r="H31" i="58"/>
  <c r="J31" i="58"/>
  <c r="F32" i="58"/>
  <c r="H32" i="58"/>
  <c r="J32" i="58"/>
  <c r="F33" i="58"/>
  <c r="H33" i="58"/>
  <c r="J33" i="58"/>
  <c r="F34" i="58"/>
  <c r="H34" i="58"/>
  <c r="J34" i="58"/>
  <c r="F35" i="58"/>
  <c r="H35" i="58"/>
  <c r="J35" i="58"/>
  <c r="F36" i="58"/>
  <c r="H36" i="58"/>
  <c r="J36" i="58"/>
  <c r="F37" i="58"/>
  <c r="H37" i="58"/>
  <c r="J37" i="58"/>
  <c r="F38" i="58"/>
  <c r="H38" i="58"/>
  <c r="J38" i="58"/>
  <c r="F39" i="58"/>
  <c r="H39" i="58"/>
  <c r="J39" i="58"/>
  <c r="F40" i="58"/>
  <c r="H40" i="58"/>
  <c r="J40" i="58"/>
  <c r="D1" i="51"/>
  <c r="E5" i="51" s="1"/>
  <c r="E84" i="2"/>
  <c r="D84" i="2"/>
  <c r="C84" i="2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2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I35" i="59"/>
  <c r="I36" i="59"/>
  <c r="I37" i="59"/>
  <c r="I38" i="59"/>
  <c r="I39" i="59"/>
  <c r="I40" i="59"/>
  <c r="C43" i="5"/>
  <c r="M43" i="5" s="1"/>
  <c r="D84" i="3"/>
  <c r="E51" i="3"/>
  <c r="H51" i="3"/>
  <c r="E52" i="3"/>
  <c r="H52" i="3"/>
  <c r="E53" i="3"/>
  <c r="H53" i="3"/>
  <c r="E54" i="3"/>
  <c r="H54" i="3"/>
  <c r="E55" i="3"/>
  <c r="H55" i="3"/>
  <c r="E56" i="3"/>
  <c r="H56" i="3"/>
  <c r="E57" i="3"/>
  <c r="H57" i="3"/>
  <c r="E58" i="3"/>
  <c r="H58" i="3"/>
  <c r="E59" i="3"/>
  <c r="H59" i="3"/>
  <c r="E60" i="3"/>
  <c r="H60" i="3"/>
  <c r="E61" i="3"/>
  <c r="H61" i="3"/>
  <c r="E62" i="3"/>
  <c r="H62" i="3"/>
  <c r="E63" i="3"/>
  <c r="H63" i="3"/>
  <c r="E64" i="3"/>
  <c r="H64" i="3"/>
  <c r="E65" i="3"/>
  <c r="H65" i="3"/>
  <c r="E66" i="3"/>
  <c r="H66" i="3"/>
  <c r="E67" i="3"/>
  <c r="H67" i="3"/>
  <c r="E68" i="3"/>
  <c r="H68" i="3"/>
  <c r="E69" i="3"/>
  <c r="H69" i="3"/>
  <c r="E70" i="3"/>
  <c r="H70" i="3"/>
  <c r="E71" i="3"/>
  <c r="H71" i="3"/>
  <c r="E72" i="3"/>
  <c r="H72" i="3"/>
  <c r="E73" i="3"/>
  <c r="H73" i="3"/>
  <c r="E74" i="3"/>
  <c r="H74" i="3"/>
  <c r="E75" i="3"/>
  <c r="H75" i="3"/>
  <c r="E76" i="3"/>
  <c r="H76" i="3"/>
  <c r="E77" i="3"/>
  <c r="H77" i="3"/>
  <c r="E78" i="3"/>
  <c r="H78" i="3"/>
  <c r="E79" i="3"/>
  <c r="H79" i="3"/>
  <c r="E80" i="3"/>
  <c r="H80" i="3"/>
  <c r="E81" i="3"/>
  <c r="H81" i="3"/>
  <c r="E82" i="3"/>
  <c r="H82" i="3"/>
  <c r="E83" i="3"/>
  <c r="H83" i="3"/>
  <c r="G84" i="3"/>
  <c r="F84" i="3"/>
  <c r="C84" i="3"/>
  <c r="D42" i="3"/>
  <c r="E10" i="3"/>
  <c r="B10" i="3" s="1"/>
  <c r="E11" i="3"/>
  <c r="E12" i="3"/>
  <c r="E13" i="3"/>
  <c r="H13" i="3"/>
  <c r="E14" i="3"/>
  <c r="B14" i="3" s="1"/>
  <c r="E15" i="3"/>
  <c r="B15" i="3" s="1"/>
  <c r="E16" i="3"/>
  <c r="B16" i="3" s="1"/>
  <c r="E17" i="3"/>
  <c r="B17" i="3" s="1"/>
  <c r="E18" i="3"/>
  <c r="B18" i="3" s="1"/>
  <c r="E19" i="3"/>
  <c r="B19" i="3" s="1"/>
  <c r="E20" i="3"/>
  <c r="H20" i="3"/>
  <c r="E21" i="3"/>
  <c r="B21" i="3" s="1"/>
  <c r="E22" i="3"/>
  <c r="H22" i="3"/>
  <c r="E23" i="3"/>
  <c r="B23" i="3" s="1"/>
  <c r="E24" i="3"/>
  <c r="B24" i="3" s="1"/>
  <c r="E25" i="3"/>
  <c r="B25" i="3" s="1"/>
  <c r="E26" i="3"/>
  <c r="H26" i="3"/>
  <c r="E27" i="3"/>
  <c r="B27" i="3" s="1"/>
  <c r="E28" i="3"/>
  <c r="B28" i="3" s="1"/>
  <c r="E29" i="3"/>
  <c r="H29" i="3"/>
  <c r="E30" i="3"/>
  <c r="H30" i="3"/>
  <c r="E31" i="3"/>
  <c r="H31" i="3"/>
  <c r="E32" i="3"/>
  <c r="H32" i="3"/>
  <c r="E33" i="3"/>
  <c r="B33" i="3" s="1"/>
  <c r="E34" i="3"/>
  <c r="H34" i="3"/>
  <c r="E35" i="3"/>
  <c r="B35" i="3" s="1"/>
  <c r="E36" i="3"/>
  <c r="B36" i="3" s="1"/>
  <c r="E37" i="3"/>
  <c r="B37" i="3" s="1"/>
  <c r="E38" i="3"/>
  <c r="B38" i="3" s="1"/>
  <c r="E39" i="3"/>
  <c r="B39" i="3" s="1"/>
  <c r="E40" i="3"/>
  <c r="H40" i="3"/>
  <c r="E41" i="3"/>
  <c r="B41" i="3" s="1"/>
  <c r="G42" i="3"/>
  <c r="F42" i="3"/>
  <c r="C42" i="3"/>
  <c r="C27" i="2"/>
  <c r="K61" i="63"/>
  <c r="K60" i="63"/>
  <c r="K59" i="63"/>
  <c r="K58" i="63"/>
  <c r="K57" i="63"/>
  <c r="K56" i="63"/>
  <c r="K55" i="63"/>
  <c r="K54" i="63"/>
  <c r="K53" i="63"/>
  <c r="K52" i="63"/>
  <c r="K51" i="63"/>
  <c r="K50" i="63"/>
  <c r="K49" i="63"/>
  <c r="K48" i="63"/>
  <c r="K47" i="63"/>
  <c r="K46" i="63"/>
  <c r="K45" i="63"/>
  <c r="K44" i="63"/>
  <c r="K43" i="63"/>
  <c r="K42" i="63"/>
  <c r="K41" i="63"/>
  <c r="K40" i="63"/>
  <c r="K39" i="63"/>
  <c r="K38" i="63"/>
  <c r="K37" i="63"/>
  <c r="K36" i="63"/>
  <c r="K35" i="63"/>
  <c r="K34" i="63"/>
  <c r="K33" i="63"/>
  <c r="K32" i="63"/>
  <c r="K31" i="63"/>
  <c r="K30" i="63"/>
  <c r="K29" i="63"/>
  <c r="K28" i="63"/>
  <c r="K27" i="63"/>
  <c r="K26" i="63"/>
  <c r="K25" i="63"/>
  <c r="K24" i="63"/>
  <c r="K23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D63" i="63"/>
  <c r="D61" i="63"/>
  <c r="D60" i="63"/>
  <c r="D59" i="63"/>
  <c r="D58" i="63"/>
  <c r="D57" i="63"/>
  <c r="D56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8" i="63"/>
  <c r="D17" i="63"/>
  <c r="D16" i="63"/>
  <c r="D15" i="63"/>
  <c r="D14" i="63"/>
  <c r="D13" i="63"/>
  <c r="D12" i="63"/>
  <c r="D11" i="63"/>
  <c r="D55" i="42"/>
  <c r="D50" i="42"/>
  <c r="D48" i="42"/>
  <c r="D31" i="42"/>
  <c r="D23" i="42"/>
  <c r="D18" i="42"/>
  <c r="D16" i="42"/>
  <c r="G9" i="42"/>
  <c r="J62" i="48"/>
  <c r="J60" i="48"/>
  <c r="J58" i="48"/>
  <c r="J57" i="48"/>
  <c r="D57" i="48" s="1"/>
  <c r="J56" i="48"/>
  <c r="J55" i="48"/>
  <c r="J54" i="48"/>
  <c r="J53" i="48"/>
  <c r="D53" i="48" s="1"/>
  <c r="J52" i="48"/>
  <c r="J51" i="48"/>
  <c r="J50" i="48"/>
  <c r="J49" i="48"/>
  <c r="D49" i="48" s="1"/>
  <c r="J48" i="48"/>
  <c r="J47" i="48"/>
  <c r="J46" i="48"/>
  <c r="J45" i="48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D21" i="48" s="1"/>
  <c r="J20" i="48"/>
  <c r="J19" i="48"/>
  <c r="J18" i="48"/>
  <c r="J17" i="48"/>
  <c r="J16" i="48"/>
  <c r="J15" i="48"/>
  <c r="J13" i="48"/>
  <c r="J12" i="48"/>
  <c r="J11" i="48"/>
  <c r="J10" i="48"/>
  <c r="G62" i="48"/>
  <c r="G60" i="48"/>
  <c r="G59" i="48"/>
  <c r="D59" i="48" s="1"/>
  <c r="G58" i="48"/>
  <c r="D58" i="48" s="1"/>
  <c r="G57" i="48"/>
  <c r="G56" i="48"/>
  <c r="G55" i="48"/>
  <c r="G54" i="48"/>
  <c r="D54" i="48" s="1"/>
  <c r="G53" i="48"/>
  <c r="G52" i="48"/>
  <c r="D52" i="48" s="1"/>
  <c r="G51" i="48"/>
  <c r="D51" i="48" s="1"/>
  <c r="G50" i="48"/>
  <c r="D50" i="48" s="1"/>
  <c r="G49" i="48"/>
  <c r="G48" i="48"/>
  <c r="G47" i="48"/>
  <c r="G46" i="48"/>
  <c r="G45" i="48"/>
  <c r="G44" i="48"/>
  <c r="D44" i="48" s="1"/>
  <c r="G43" i="48"/>
  <c r="D43" i="48" s="1"/>
  <c r="G42" i="48"/>
  <c r="D42" i="48" s="1"/>
  <c r="G41" i="48"/>
  <c r="G40" i="48"/>
  <c r="G39" i="48"/>
  <c r="G38" i="48"/>
  <c r="D38" i="48" s="1"/>
  <c r="G37" i="48"/>
  <c r="G36" i="48"/>
  <c r="D36" i="48" s="1"/>
  <c r="G35" i="48"/>
  <c r="D35" i="48" s="1"/>
  <c r="G34" i="48"/>
  <c r="D34" i="48" s="1"/>
  <c r="G33" i="48"/>
  <c r="G32" i="48"/>
  <c r="G31" i="48"/>
  <c r="G30" i="48"/>
  <c r="G29" i="48"/>
  <c r="G28" i="48"/>
  <c r="D28" i="48" s="1"/>
  <c r="G27" i="48"/>
  <c r="D27" i="48" s="1"/>
  <c r="G26" i="48"/>
  <c r="D26" i="48" s="1"/>
  <c r="G25" i="48"/>
  <c r="G24" i="48"/>
  <c r="G23" i="48"/>
  <c r="G22" i="48"/>
  <c r="D22" i="48" s="1"/>
  <c r="G21" i="48"/>
  <c r="G20" i="48"/>
  <c r="D20" i="48" s="1"/>
  <c r="G19" i="48"/>
  <c r="D19" i="48" s="1"/>
  <c r="G18" i="48"/>
  <c r="D18" i="48" s="1"/>
  <c r="G17" i="48"/>
  <c r="G16" i="48"/>
  <c r="G15" i="48"/>
  <c r="G14" i="48"/>
  <c r="G13" i="48"/>
  <c r="D13" i="48" s="1"/>
  <c r="G12" i="48"/>
  <c r="G11" i="48"/>
  <c r="D11" i="48" s="1"/>
  <c r="G10" i="48"/>
  <c r="D62" i="48"/>
  <c r="D46" i="48"/>
  <c r="D45" i="48"/>
  <c r="D41" i="48"/>
  <c r="D37" i="48"/>
  <c r="D33" i="48"/>
  <c r="D30" i="48"/>
  <c r="D29" i="48"/>
  <c r="D25" i="48"/>
  <c r="D14" i="48"/>
  <c r="D12" i="48"/>
  <c r="J9" i="48"/>
  <c r="D9" i="48" s="1"/>
  <c r="D60" i="41"/>
  <c r="G59" i="41"/>
  <c r="G58" i="41"/>
  <c r="G57" i="41"/>
  <c r="G56" i="41"/>
  <c r="G55" i="41"/>
  <c r="G54" i="41"/>
  <c r="G53" i="41"/>
  <c r="G52" i="41"/>
  <c r="G51" i="41"/>
  <c r="G50" i="41"/>
  <c r="G49" i="41"/>
  <c r="G48" i="41"/>
  <c r="D48" i="41" s="1"/>
  <c r="G47" i="41"/>
  <c r="G46" i="41"/>
  <c r="G45" i="41"/>
  <c r="G44" i="41"/>
  <c r="G43" i="41"/>
  <c r="D43" i="41" s="1"/>
  <c r="D101" i="41" s="1"/>
  <c r="G42" i="41"/>
  <c r="D42" i="41" s="1"/>
  <c r="G41" i="41"/>
  <c r="G40" i="41"/>
  <c r="D40" i="41" s="1"/>
  <c r="G39" i="41"/>
  <c r="G38" i="41"/>
  <c r="G37" i="41"/>
  <c r="G36" i="41"/>
  <c r="D36" i="41" s="1"/>
  <c r="D94" i="41" s="1"/>
  <c r="G35" i="41"/>
  <c r="G34" i="41"/>
  <c r="G33" i="41"/>
  <c r="D33" i="41" s="1"/>
  <c r="G32" i="41"/>
  <c r="G31" i="41"/>
  <c r="G30" i="41"/>
  <c r="G29" i="41"/>
  <c r="D29" i="41" s="1"/>
  <c r="D87" i="41" s="1"/>
  <c r="H87" i="41" s="1"/>
  <c r="G28" i="41"/>
  <c r="G27" i="41"/>
  <c r="G26" i="41"/>
  <c r="G25" i="41"/>
  <c r="D25" i="41" s="1"/>
  <c r="G24" i="41"/>
  <c r="G23" i="41"/>
  <c r="G22" i="41"/>
  <c r="G21" i="41"/>
  <c r="G20" i="41"/>
  <c r="G19" i="41"/>
  <c r="G18" i="41"/>
  <c r="G17" i="41"/>
  <c r="D17" i="41" s="1"/>
  <c r="D75" i="41" s="1"/>
  <c r="G16" i="41"/>
  <c r="G15" i="41"/>
  <c r="G14" i="41"/>
  <c r="G13" i="41"/>
  <c r="G12" i="41"/>
  <c r="G11" i="41"/>
  <c r="G10" i="41"/>
  <c r="G9" i="41"/>
  <c r="G10" i="40"/>
  <c r="J10" i="40"/>
  <c r="G62" i="40"/>
  <c r="J62" i="40"/>
  <c r="G60" i="40"/>
  <c r="J60" i="40"/>
  <c r="G59" i="40"/>
  <c r="J59" i="40"/>
  <c r="G58" i="40"/>
  <c r="J58" i="40"/>
  <c r="G57" i="40"/>
  <c r="J57" i="40"/>
  <c r="G56" i="40"/>
  <c r="J56" i="40"/>
  <c r="G55" i="40"/>
  <c r="J55" i="40"/>
  <c r="G54" i="40"/>
  <c r="J54" i="40"/>
  <c r="G53" i="40"/>
  <c r="J53" i="40"/>
  <c r="G52" i="40"/>
  <c r="J52" i="40"/>
  <c r="G51" i="40"/>
  <c r="J51" i="40"/>
  <c r="G50" i="40"/>
  <c r="J50" i="40"/>
  <c r="G49" i="40"/>
  <c r="J49" i="40"/>
  <c r="G48" i="40"/>
  <c r="J48" i="40"/>
  <c r="G47" i="40"/>
  <c r="J47" i="40"/>
  <c r="G46" i="40"/>
  <c r="J46" i="40"/>
  <c r="G45" i="40"/>
  <c r="J45" i="40"/>
  <c r="G44" i="40"/>
  <c r="J44" i="40"/>
  <c r="G43" i="40"/>
  <c r="J43" i="40"/>
  <c r="G42" i="40"/>
  <c r="J42" i="40"/>
  <c r="G41" i="40"/>
  <c r="J41" i="40"/>
  <c r="G40" i="40"/>
  <c r="J40" i="40"/>
  <c r="G39" i="40"/>
  <c r="J39" i="40"/>
  <c r="G38" i="40"/>
  <c r="J38" i="40"/>
  <c r="G37" i="40"/>
  <c r="J37" i="40"/>
  <c r="G36" i="40"/>
  <c r="J36" i="40"/>
  <c r="G35" i="40"/>
  <c r="J35" i="40"/>
  <c r="G34" i="40"/>
  <c r="J34" i="40"/>
  <c r="G33" i="40"/>
  <c r="J33" i="40"/>
  <c r="G32" i="40"/>
  <c r="J32" i="40"/>
  <c r="G31" i="40"/>
  <c r="J31" i="40"/>
  <c r="G30" i="40"/>
  <c r="J30" i="40"/>
  <c r="G29" i="40"/>
  <c r="J29" i="40"/>
  <c r="G28" i="40"/>
  <c r="J28" i="40"/>
  <c r="G27" i="40"/>
  <c r="J27" i="40"/>
  <c r="G26" i="40"/>
  <c r="J26" i="40"/>
  <c r="G25" i="40"/>
  <c r="J25" i="40"/>
  <c r="G24" i="40"/>
  <c r="J24" i="40"/>
  <c r="G23" i="40"/>
  <c r="J23" i="40"/>
  <c r="G22" i="40"/>
  <c r="J22" i="40"/>
  <c r="G21" i="40"/>
  <c r="J21" i="40"/>
  <c r="G20" i="40"/>
  <c r="J20" i="40"/>
  <c r="G19" i="40"/>
  <c r="J19" i="40"/>
  <c r="G18" i="40"/>
  <c r="J18" i="40"/>
  <c r="G17" i="40"/>
  <c r="J17" i="40"/>
  <c r="G16" i="40"/>
  <c r="J16" i="40"/>
  <c r="G15" i="40"/>
  <c r="J15" i="40"/>
  <c r="G14" i="40"/>
  <c r="J14" i="40"/>
  <c r="G13" i="40"/>
  <c r="G12" i="40"/>
  <c r="J12" i="40"/>
  <c r="G11" i="40"/>
  <c r="J11" i="40"/>
  <c r="G9" i="40"/>
  <c r="J9" i="40"/>
  <c r="I5" i="44"/>
  <c r="F75" i="59"/>
  <c r="I75" i="59"/>
  <c r="F67" i="59"/>
  <c r="I67" i="59"/>
  <c r="F59" i="59"/>
  <c r="I59" i="59"/>
  <c r="F51" i="59"/>
  <c r="I51" i="59"/>
  <c r="I80" i="59"/>
  <c r="I79" i="59"/>
  <c r="F79" i="59"/>
  <c r="I78" i="59"/>
  <c r="F78" i="59"/>
  <c r="I77" i="59"/>
  <c r="I76" i="59"/>
  <c r="I74" i="59"/>
  <c r="F74" i="59"/>
  <c r="I73" i="59"/>
  <c r="I72" i="59"/>
  <c r="I71" i="59"/>
  <c r="F71" i="59"/>
  <c r="I70" i="59"/>
  <c r="F70" i="59"/>
  <c r="I69" i="59"/>
  <c r="I68" i="59"/>
  <c r="I66" i="59"/>
  <c r="F66" i="59"/>
  <c r="I65" i="59"/>
  <c r="I64" i="59"/>
  <c r="I63" i="59"/>
  <c r="F63" i="59"/>
  <c r="I62" i="59"/>
  <c r="F62" i="59"/>
  <c r="I61" i="59"/>
  <c r="I60" i="59"/>
  <c r="I58" i="59"/>
  <c r="F58" i="59"/>
  <c r="I57" i="59"/>
  <c r="I56" i="59"/>
  <c r="I55" i="59"/>
  <c r="F55" i="59"/>
  <c r="I54" i="59"/>
  <c r="F54" i="59"/>
  <c r="I53" i="59"/>
  <c r="I52" i="59"/>
  <c r="I50" i="59"/>
  <c r="F50" i="59"/>
  <c r="I49" i="59"/>
  <c r="I48" i="59"/>
  <c r="H81" i="59"/>
  <c r="G81" i="59"/>
  <c r="E81" i="59"/>
  <c r="D81" i="59"/>
  <c r="F80" i="59"/>
  <c r="F77" i="59"/>
  <c r="F76" i="59"/>
  <c r="F73" i="59"/>
  <c r="C73" i="59" s="1"/>
  <c r="F72" i="59"/>
  <c r="C72" i="59" s="1"/>
  <c r="F69" i="59"/>
  <c r="F68" i="59"/>
  <c r="F65" i="59"/>
  <c r="F64" i="59"/>
  <c r="F61" i="59"/>
  <c r="F60" i="59"/>
  <c r="C60" i="59" s="1"/>
  <c r="F57" i="59"/>
  <c r="F56" i="59"/>
  <c r="F53" i="59"/>
  <c r="C53" i="59" s="1"/>
  <c r="F52" i="59"/>
  <c r="F49" i="59"/>
  <c r="F48" i="59"/>
  <c r="H41" i="59"/>
  <c r="G41" i="59"/>
  <c r="E41" i="59"/>
  <c r="D41" i="59"/>
  <c r="F2" i="57"/>
  <c r="H44" i="57" s="1"/>
  <c r="N40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D8" i="58"/>
  <c r="D9" i="58"/>
  <c r="D10" i="58"/>
  <c r="D11" i="58"/>
  <c r="D12" i="58"/>
  <c r="D13" i="58"/>
  <c r="D14" i="58"/>
  <c r="D15" i="58"/>
  <c r="D16" i="58"/>
  <c r="D17" i="58"/>
  <c r="D18" i="58"/>
  <c r="D19" i="58"/>
  <c r="D20" i="58"/>
  <c r="D21" i="58"/>
  <c r="D22" i="58"/>
  <c r="D23" i="58"/>
  <c r="D24" i="58"/>
  <c r="D25" i="58"/>
  <c r="D26" i="58"/>
  <c r="D27" i="58"/>
  <c r="D28" i="58"/>
  <c r="D29" i="58"/>
  <c r="D30" i="58"/>
  <c r="D31" i="58"/>
  <c r="D32" i="58"/>
  <c r="D33" i="58"/>
  <c r="D34" i="58"/>
  <c r="D35" i="58"/>
  <c r="D36" i="58"/>
  <c r="D37" i="58"/>
  <c r="D38" i="58"/>
  <c r="D39" i="58"/>
  <c r="D40" i="58"/>
  <c r="E2" i="58"/>
  <c r="H4" i="58" s="1"/>
  <c r="J44" i="58"/>
  <c r="D2" i="5"/>
  <c r="C51" i="5" s="1"/>
  <c r="D4" i="4"/>
  <c r="B7" i="4" s="1"/>
  <c r="F71" i="2"/>
  <c r="E71" i="2"/>
  <c r="D71" i="2"/>
  <c r="F70" i="2"/>
  <c r="E70" i="2"/>
  <c r="D70" i="2"/>
  <c r="C31" i="2"/>
  <c r="C30" i="2"/>
  <c r="C29" i="2"/>
  <c r="C28" i="2"/>
  <c r="C26" i="2"/>
  <c r="C25" i="2"/>
  <c r="C24" i="2"/>
  <c r="C23" i="2"/>
  <c r="C22" i="2"/>
  <c r="C21" i="2"/>
  <c r="C20" i="2"/>
  <c r="C19" i="2"/>
  <c r="C18" i="2"/>
  <c r="C17" i="2"/>
  <c r="C16" i="2"/>
  <c r="C15" i="2"/>
  <c r="C42" i="2"/>
  <c r="C2" i="2"/>
  <c r="G4" i="2" s="1"/>
  <c r="C37" i="2" s="1"/>
  <c r="B77" i="2" s="1"/>
  <c r="G47" i="3"/>
  <c r="G5" i="3"/>
  <c r="R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C54" i="4"/>
  <c r="H65" i="42"/>
  <c r="I70" i="48"/>
  <c r="I67" i="42" s="1"/>
  <c r="H70" i="48"/>
  <c r="H67" i="42" s="1"/>
  <c r="F70" i="48"/>
  <c r="F67" i="42" s="1"/>
  <c r="E70" i="48"/>
  <c r="E67" i="42" s="1"/>
  <c r="Q7" i="48"/>
  <c r="R9" i="48"/>
  <c r="AI7" i="45"/>
  <c r="AH7" i="45"/>
  <c r="AG7" i="45"/>
  <c r="AF7" i="45"/>
  <c r="AA7" i="45"/>
  <c r="Z7" i="45"/>
  <c r="Y7" i="45"/>
  <c r="X7" i="45"/>
  <c r="AI6" i="45"/>
  <c r="AH6" i="45"/>
  <c r="AG6" i="45"/>
  <c r="AF6" i="45"/>
  <c r="AA6" i="45"/>
  <c r="Z6" i="45"/>
  <c r="Y6" i="45"/>
  <c r="X6" i="45"/>
  <c r="R40" i="59"/>
  <c r="O40" i="59"/>
  <c r="R39" i="59"/>
  <c r="O39" i="59"/>
  <c r="R38" i="59"/>
  <c r="O38" i="59"/>
  <c r="R37" i="59"/>
  <c r="O37" i="59"/>
  <c r="R36" i="59"/>
  <c r="O36" i="59"/>
  <c r="R35" i="59"/>
  <c r="O35" i="59"/>
  <c r="R34" i="59"/>
  <c r="O34" i="59"/>
  <c r="R33" i="59"/>
  <c r="O33" i="59"/>
  <c r="R32" i="59"/>
  <c r="O32" i="59"/>
  <c r="R31" i="59"/>
  <c r="O31" i="59"/>
  <c r="R30" i="59"/>
  <c r="O30" i="59"/>
  <c r="R29" i="59"/>
  <c r="O29" i="59"/>
  <c r="R28" i="59"/>
  <c r="O28" i="59"/>
  <c r="R27" i="59"/>
  <c r="O27" i="59"/>
  <c r="R26" i="59"/>
  <c r="O26" i="59"/>
  <c r="R25" i="59"/>
  <c r="O25" i="59"/>
  <c r="R24" i="59"/>
  <c r="O24" i="59"/>
  <c r="R23" i="59"/>
  <c r="O23" i="59"/>
  <c r="R22" i="59"/>
  <c r="O22" i="59"/>
  <c r="R21" i="59"/>
  <c r="O21" i="59"/>
  <c r="R20" i="59"/>
  <c r="O20" i="59"/>
  <c r="R19" i="59"/>
  <c r="O19" i="59"/>
  <c r="R18" i="59"/>
  <c r="O18" i="59"/>
  <c r="R17" i="59"/>
  <c r="O17" i="59"/>
  <c r="R16" i="59"/>
  <c r="O16" i="59"/>
  <c r="R15" i="59"/>
  <c r="O15" i="59"/>
  <c r="R14" i="59"/>
  <c r="O14" i="59"/>
  <c r="R13" i="59"/>
  <c r="O13" i="59"/>
  <c r="R12" i="59"/>
  <c r="O12" i="59"/>
  <c r="R11" i="59"/>
  <c r="O11" i="59"/>
  <c r="R10" i="59"/>
  <c r="O10" i="59"/>
  <c r="R9" i="59"/>
  <c r="O9" i="59"/>
  <c r="R8" i="59"/>
  <c r="R7" i="59" s="1"/>
  <c r="O8" i="59"/>
  <c r="L7" i="59"/>
  <c r="P51" i="58"/>
  <c r="P50" i="58"/>
  <c r="P49" i="58"/>
  <c r="P48" i="58"/>
  <c r="R8" i="58"/>
  <c r="U4" i="58"/>
  <c r="U3" i="58" s="1"/>
  <c r="D86" i="4"/>
  <c r="C86" i="4"/>
  <c r="F85" i="4"/>
  <c r="E85" i="4"/>
  <c r="D85" i="4"/>
  <c r="C85" i="4"/>
  <c r="D84" i="4"/>
  <c r="C84" i="4"/>
  <c r="D83" i="4"/>
  <c r="C83" i="4"/>
  <c r="D82" i="4"/>
  <c r="C82" i="4"/>
  <c r="D81" i="4"/>
  <c r="C81" i="4"/>
  <c r="D80" i="4"/>
  <c r="C80" i="4"/>
  <c r="F79" i="4"/>
  <c r="E79" i="4"/>
  <c r="D79" i="4"/>
  <c r="C79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D73" i="4"/>
  <c r="C73" i="4"/>
  <c r="D72" i="4"/>
  <c r="C72" i="4"/>
  <c r="F71" i="4"/>
  <c r="E71" i="4"/>
  <c r="D71" i="4"/>
  <c r="C71" i="4"/>
  <c r="D70" i="4"/>
  <c r="C70" i="4"/>
  <c r="D69" i="4"/>
  <c r="C69" i="4"/>
  <c r="D68" i="4"/>
  <c r="C68" i="4"/>
  <c r="F67" i="4"/>
  <c r="E67" i="4"/>
  <c r="D67" i="4"/>
  <c r="C67" i="4"/>
  <c r="D66" i="4"/>
  <c r="C66" i="4"/>
  <c r="F65" i="4"/>
  <c r="E65" i="4"/>
  <c r="D65" i="4"/>
  <c r="C65" i="4"/>
  <c r="D64" i="4"/>
  <c r="C64" i="4"/>
  <c r="E63" i="4"/>
  <c r="D63" i="4"/>
  <c r="C63" i="4"/>
  <c r="F62" i="4"/>
  <c r="E62" i="4"/>
  <c r="D62" i="4"/>
  <c r="C62" i="4"/>
  <c r="D61" i="4"/>
  <c r="C61" i="4"/>
  <c r="D60" i="4"/>
  <c r="C60" i="4"/>
  <c r="D59" i="4"/>
  <c r="C59" i="4"/>
  <c r="F58" i="4"/>
  <c r="E58" i="4"/>
  <c r="D58" i="4"/>
  <c r="C58" i="4"/>
  <c r="D57" i="4"/>
  <c r="C57" i="4"/>
  <c r="F56" i="4"/>
  <c r="E56" i="4"/>
  <c r="D56" i="4"/>
  <c r="C56" i="4"/>
  <c r="D55" i="4"/>
  <c r="C55" i="4"/>
  <c r="D54" i="4"/>
  <c r="C98" i="2"/>
  <c r="C101" i="2"/>
  <c r="B94" i="2"/>
  <c r="B93" i="4"/>
  <c r="B46" i="51" s="1"/>
  <c r="B79" i="5" s="1"/>
  <c r="B85" i="58" s="1"/>
  <c r="B86" i="57" s="1"/>
  <c r="B85" i="59" s="1"/>
  <c r="C61" i="49" s="1"/>
  <c r="B81" i="45" s="1"/>
  <c r="B84" i="44" s="1"/>
  <c r="D56" i="50" s="1"/>
  <c r="K42" i="3"/>
  <c r="R8" i="48"/>
  <c r="C87" i="2" l="1"/>
  <c r="C85" i="2"/>
  <c r="C88" i="2"/>
  <c r="D87" i="2"/>
  <c r="D85" i="2"/>
  <c r="D88" i="2"/>
  <c r="E88" i="2"/>
  <c r="E87" i="2"/>
  <c r="E89" i="2" s="1"/>
  <c r="E85" i="2"/>
  <c r="K63" i="63"/>
  <c r="D17" i="48"/>
  <c r="D10" i="48"/>
  <c r="C66" i="2"/>
  <c r="C59" i="2"/>
  <c r="C51" i="2"/>
  <c r="E67" i="2"/>
  <c r="J29" i="5"/>
  <c r="J17" i="5"/>
  <c r="J40" i="5"/>
  <c r="J36" i="5"/>
  <c r="J32" i="5"/>
  <c r="J28" i="5"/>
  <c r="J20" i="5"/>
  <c r="J12" i="5"/>
  <c r="K74" i="58"/>
  <c r="K66" i="58"/>
  <c r="K58" i="58"/>
  <c r="K50" i="58"/>
  <c r="K79" i="58"/>
  <c r="K71" i="58"/>
  <c r="K63" i="58"/>
  <c r="K55" i="58"/>
  <c r="K77" i="58"/>
  <c r="K69" i="58"/>
  <c r="K61" i="58"/>
  <c r="K53" i="58"/>
  <c r="K76" i="58"/>
  <c r="K68" i="58"/>
  <c r="K60" i="58"/>
  <c r="K52" i="58"/>
  <c r="K78" i="58"/>
  <c r="K70" i="58"/>
  <c r="K62" i="58"/>
  <c r="E43" i="4"/>
  <c r="K73" i="58"/>
  <c r="K65" i="58"/>
  <c r="K57" i="58"/>
  <c r="K49" i="58"/>
  <c r="H43" i="5"/>
  <c r="K54" i="58"/>
  <c r="K75" i="58"/>
  <c r="K67" i="58"/>
  <c r="K59" i="58"/>
  <c r="K51" i="58"/>
  <c r="K80" i="58"/>
  <c r="K72" i="58"/>
  <c r="K64" i="58"/>
  <c r="K56" i="58"/>
  <c r="K48" i="58"/>
  <c r="J39" i="5"/>
  <c r="J35" i="5"/>
  <c r="J31" i="5"/>
  <c r="J27" i="5"/>
  <c r="J23" i="5"/>
  <c r="J19" i="5"/>
  <c r="J15" i="5"/>
  <c r="J11" i="5"/>
  <c r="J41" i="5"/>
  <c r="J37" i="5"/>
  <c r="J25" i="5"/>
  <c r="J21" i="5"/>
  <c r="J13" i="5"/>
  <c r="J24" i="5"/>
  <c r="L79" i="58"/>
  <c r="L71" i="58"/>
  <c r="L63" i="58"/>
  <c r="L55" i="58"/>
  <c r="L74" i="58"/>
  <c r="L76" i="58"/>
  <c r="L68" i="58"/>
  <c r="L60" i="58"/>
  <c r="L52" i="58"/>
  <c r="L66" i="58"/>
  <c r="L58" i="58"/>
  <c r="L50" i="58"/>
  <c r="L73" i="58"/>
  <c r="L65" i="58"/>
  <c r="L57" i="58"/>
  <c r="L49" i="58"/>
  <c r="I43" i="5"/>
  <c r="L75" i="58"/>
  <c r="L67" i="58"/>
  <c r="L59" i="58"/>
  <c r="L51" i="58"/>
  <c r="L78" i="58"/>
  <c r="L70" i="58"/>
  <c r="L62" i="58"/>
  <c r="L54" i="58"/>
  <c r="F43" i="4"/>
  <c r="L80" i="58"/>
  <c r="L72" i="58"/>
  <c r="L64" i="58"/>
  <c r="L56" i="58"/>
  <c r="L48" i="58"/>
  <c r="L77" i="58"/>
  <c r="L69" i="58"/>
  <c r="L61" i="58"/>
  <c r="L53" i="58"/>
  <c r="J42" i="5"/>
  <c r="J38" i="5"/>
  <c r="J34" i="5"/>
  <c r="J30" i="5"/>
  <c r="J26" i="5"/>
  <c r="J22" i="5"/>
  <c r="J18" i="5"/>
  <c r="J14" i="5"/>
  <c r="J10" i="5"/>
  <c r="J33" i="5"/>
  <c r="J16" i="5"/>
  <c r="G36" i="5"/>
  <c r="G73" i="58"/>
  <c r="G65" i="58"/>
  <c r="G57" i="58"/>
  <c r="G49" i="58"/>
  <c r="F43" i="5"/>
  <c r="D43" i="4"/>
  <c r="G79" i="58"/>
  <c r="G74" i="58"/>
  <c r="G66" i="58"/>
  <c r="G58" i="58"/>
  <c r="G50" i="58"/>
  <c r="G71" i="58"/>
  <c r="G63" i="58"/>
  <c r="G55" i="58"/>
  <c r="G75" i="58"/>
  <c r="G67" i="58"/>
  <c r="G59" i="58"/>
  <c r="G51" i="58"/>
  <c r="G76" i="58"/>
  <c r="G68" i="58"/>
  <c r="G60" i="58"/>
  <c r="G52" i="58"/>
  <c r="G77" i="58"/>
  <c r="G69" i="58"/>
  <c r="G61" i="58"/>
  <c r="G53" i="58"/>
  <c r="G78" i="58"/>
  <c r="G70" i="58"/>
  <c r="G62" i="58"/>
  <c r="G54" i="58"/>
  <c r="G80" i="58"/>
  <c r="G64" i="58"/>
  <c r="G72" i="58"/>
  <c r="G48" i="58"/>
  <c r="G56" i="58"/>
  <c r="G17" i="5"/>
  <c r="E80" i="58"/>
  <c r="F80" i="58" s="1"/>
  <c r="E72" i="58"/>
  <c r="E64" i="58"/>
  <c r="E56" i="58"/>
  <c r="E48" i="58"/>
  <c r="E73" i="58"/>
  <c r="E65" i="58"/>
  <c r="E57" i="58"/>
  <c r="E49" i="58"/>
  <c r="E43" i="5"/>
  <c r="C43" i="4"/>
  <c r="E74" i="58"/>
  <c r="E66" i="58"/>
  <c r="E58" i="58"/>
  <c r="E50" i="58"/>
  <c r="E78" i="58"/>
  <c r="E62" i="58"/>
  <c r="F62" i="58" s="1"/>
  <c r="E75" i="58"/>
  <c r="E67" i="58"/>
  <c r="E59" i="58"/>
  <c r="E51" i="58"/>
  <c r="E70" i="58"/>
  <c r="E54" i="58"/>
  <c r="E76" i="58"/>
  <c r="E68" i="58"/>
  <c r="E60" i="58"/>
  <c r="E52" i="58"/>
  <c r="E77" i="58"/>
  <c r="E69" i="58"/>
  <c r="E61" i="58"/>
  <c r="E53" i="58"/>
  <c r="E71" i="58"/>
  <c r="E79" i="58"/>
  <c r="E55" i="58"/>
  <c r="E63" i="58"/>
  <c r="G32" i="5"/>
  <c r="G24" i="5"/>
  <c r="G12" i="5"/>
  <c r="C87" i="4"/>
  <c r="G37" i="5"/>
  <c r="G21" i="5"/>
  <c r="G40" i="5"/>
  <c r="G16" i="5"/>
  <c r="G39" i="5"/>
  <c r="G35" i="5"/>
  <c r="G31" i="5"/>
  <c r="G27" i="5"/>
  <c r="G23" i="5"/>
  <c r="G19" i="5"/>
  <c r="G15" i="5"/>
  <c r="G11" i="5"/>
  <c r="G25" i="5"/>
  <c r="G28" i="5"/>
  <c r="G41" i="5"/>
  <c r="G33" i="5"/>
  <c r="G29" i="5"/>
  <c r="G13" i="5"/>
  <c r="B77" i="3"/>
  <c r="G80" i="4" s="1"/>
  <c r="G20" i="5"/>
  <c r="G42" i="5"/>
  <c r="G38" i="5"/>
  <c r="G34" i="5"/>
  <c r="G30" i="5"/>
  <c r="G26" i="5"/>
  <c r="G22" i="5"/>
  <c r="G18" i="5"/>
  <c r="G14" i="5"/>
  <c r="G10" i="5"/>
  <c r="O11" i="5"/>
  <c r="O57" i="5" s="1"/>
  <c r="O37" i="5"/>
  <c r="S66" i="5" s="1"/>
  <c r="C61" i="59"/>
  <c r="D67" i="2"/>
  <c r="H4" i="59"/>
  <c r="D49" i="42"/>
  <c r="D15" i="48"/>
  <c r="D23" i="48"/>
  <c r="D31" i="48"/>
  <c r="D39" i="48"/>
  <c r="D47" i="48"/>
  <c r="D55" i="48"/>
  <c r="D53" i="41"/>
  <c r="D51" i="41"/>
  <c r="C50" i="59"/>
  <c r="C23" i="59"/>
  <c r="C20" i="59"/>
  <c r="C39" i="59"/>
  <c r="C35" i="59"/>
  <c r="C57" i="2"/>
  <c r="B80" i="3"/>
  <c r="F77" i="57" s="1"/>
  <c r="B68" i="3"/>
  <c r="F65" i="57" s="1"/>
  <c r="B13" i="3"/>
  <c r="B40" i="3"/>
  <c r="B20" i="3"/>
  <c r="D33" i="42"/>
  <c r="D57" i="42"/>
  <c r="D11" i="42"/>
  <c r="D35" i="42"/>
  <c r="D43" i="42"/>
  <c r="D16" i="48"/>
  <c r="D24" i="48"/>
  <c r="D32" i="48"/>
  <c r="D40" i="48"/>
  <c r="D48" i="48"/>
  <c r="D56" i="48"/>
  <c r="D60" i="48"/>
  <c r="D27" i="41"/>
  <c r="D39" i="41"/>
  <c r="D97" i="41" s="1"/>
  <c r="D23" i="41"/>
  <c r="D81" i="41" s="1"/>
  <c r="D50" i="41"/>
  <c r="D108" i="41" s="1"/>
  <c r="D20" i="41"/>
  <c r="D78" i="41" s="1"/>
  <c r="I78" i="41" s="1"/>
  <c r="D24" i="41"/>
  <c r="D28" i="41"/>
  <c r="D86" i="41" s="1"/>
  <c r="D32" i="41"/>
  <c r="D90" i="41" s="1"/>
  <c r="D35" i="41"/>
  <c r="D56" i="41"/>
  <c r="D114" i="41" s="1"/>
  <c r="C66" i="59"/>
  <c r="C67" i="59"/>
  <c r="C57" i="59"/>
  <c r="C64" i="59"/>
  <c r="C54" i="59"/>
  <c r="C68" i="59"/>
  <c r="C15" i="59"/>
  <c r="C32" i="59"/>
  <c r="C28" i="59"/>
  <c r="I41" i="59"/>
  <c r="C40" i="59"/>
  <c r="O41" i="5"/>
  <c r="S70" i="5" s="1"/>
  <c r="O29" i="5"/>
  <c r="S58" i="5" s="1"/>
  <c r="O25" i="5"/>
  <c r="O71" i="5" s="1"/>
  <c r="O21" i="5"/>
  <c r="O67" i="5" s="1"/>
  <c r="O13" i="5"/>
  <c r="O59" i="5" s="1"/>
  <c r="E72" i="2"/>
  <c r="E51" i="4"/>
  <c r="I5" i="5"/>
  <c r="C53" i="2"/>
  <c r="C61" i="2"/>
  <c r="B67" i="3"/>
  <c r="F64" i="57" s="1"/>
  <c r="B51" i="3"/>
  <c r="F48" i="57" s="1"/>
  <c r="B52" i="3"/>
  <c r="F49" i="57" s="1"/>
  <c r="B73" i="3"/>
  <c r="F70" i="57" s="1"/>
  <c r="B53" i="3"/>
  <c r="F50" i="57" s="1"/>
  <c r="B69" i="60"/>
  <c r="C65" i="40" s="1"/>
  <c r="C64" i="41" s="1"/>
  <c r="C66" i="48" s="1"/>
  <c r="C64" i="42" s="1"/>
  <c r="C95" i="63" s="1"/>
  <c r="D106" i="41"/>
  <c r="I106" i="41" s="1"/>
  <c r="D49" i="41"/>
  <c r="D107" i="41" s="1"/>
  <c r="C60" i="2"/>
  <c r="D72" i="2"/>
  <c r="O33" i="5"/>
  <c r="S62" i="5" s="1"/>
  <c r="D18" i="41"/>
  <c r="D76" i="41" s="1"/>
  <c r="F87" i="4"/>
  <c r="B79" i="3"/>
  <c r="C27" i="59"/>
  <c r="C19" i="59"/>
  <c r="E62" i="2"/>
  <c r="C62" i="59"/>
  <c r="D19" i="41"/>
  <c r="D77" i="41" s="1"/>
  <c r="B78" i="3"/>
  <c r="G81" i="4" s="1"/>
  <c r="F81" i="59"/>
  <c r="C11" i="59"/>
  <c r="C49" i="59"/>
  <c r="C77" i="59"/>
  <c r="C56" i="59"/>
  <c r="D118" i="41"/>
  <c r="I118" i="41" s="1"/>
  <c r="D26" i="41"/>
  <c r="D84" i="41" s="1"/>
  <c r="B66" i="3"/>
  <c r="G69" i="4" s="1"/>
  <c r="O17" i="5"/>
  <c r="O63" i="5" s="1"/>
  <c r="C70" i="59"/>
  <c r="D28" i="42"/>
  <c r="D60" i="42"/>
  <c r="B65" i="3"/>
  <c r="G68" i="4" s="1"/>
  <c r="D62" i="2"/>
  <c r="F62" i="2"/>
  <c r="O42" i="5"/>
  <c r="S71" i="5" s="1"/>
  <c r="C59" i="59"/>
  <c r="D34" i="41"/>
  <c r="D92" i="41" s="1"/>
  <c r="H92" i="41" s="1"/>
  <c r="B34" i="3"/>
  <c r="C9" i="59"/>
  <c r="C70" i="2"/>
  <c r="C78" i="59"/>
  <c r="D41" i="41"/>
  <c r="D99" i="41" s="1"/>
  <c r="C24" i="59"/>
  <c r="O14" i="5"/>
  <c r="O60" i="5" s="1"/>
  <c r="D51" i="40"/>
  <c r="D53" i="40"/>
  <c r="D59" i="40"/>
  <c r="D62" i="40"/>
  <c r="D18" i="40"/>
  <c r="D26" i="40"/>
  <c r="D85" i="40" s="1"/>
  <c r="G85" i="40" s="1"/>
  <c r="D32" i="40"/>
  <c r="D91" i="40" s="1"/>
  <c r="I91" i="40" s="1"/>
  <c r="D50" i="40"/>
  <c r="D109" i="40" s="1"/>
  <c r="J109" i="40" s="1"/>
  <c r="D40" i="40"/>
  <c r="D19" i="40"/>
  <c r="D78" i="40" s="1"/>
  <c r="D21" i="40"/>
  <c r="D80" i="40" s="1"/>
  <c r="D27" i="40"/>
  <c r="D86" i="40" s="1"/>
  <c r="D29" i="40"/>
  <c r="D56" i="40"/>
  <c r="D58" i="40"/>
  <c r="D9" i="40"/>
  <c r="D24" i="40"/>
  <c r="D83" i="40" s="1"/>
  <c r="D34" i="40"/>
  <c r="D17" i="42"/>
  <c r="D21" i="42"/>
  <c r="D25" i="42"/>
  <c r="D41" i="42"/>
  <c r="D45" i="42"/>
  <c r="D10" i="42"/>
  <c r="D14" i="42"/>
  <c r="D30" i="42"/>
  <c r="D34" i="42"/>
  <c r="D38" i="42"/>
  <c r="D54" i="42"/>
  <c r="D58" i="42"/>
  <c r="D20" i="42"/>
  <c r="D24" i="42"/>
  <c r="D40" i="42"/>
  <c r="D44" i="42"/>
  <c r="D37" i="42"/>
  <c r="D13" i="42"/>
  <c r="D29" i="42"/>
  <c r="D53" i="42"/>
  <c r="G70" i="48"/>
  <c r="G67" i="42" s="1"/>
  <c r="D22" i="42"/>
  <c r="D26" i="42"/>
  <c r="D42" i="42"/>
  <c r="D46" i="42"/>
  <c r="D9" i="42"/>
  <c r="D19" i="42"/>
  <c r="D27" i="42"/>
  <c r="D39" i="42"/>
  <c r="D47" i="42"/>
  <c r="D51" i="42"/>
  <c r="D59" i="42"/>
  <c r="D12" i="42"/>
  <c r="D32" i="42"/>
  <c r="D36" i="42"/>
  <c r="D52" i="42"/>
  <c r="D56" i="42"/>
  <c r="J70" i="48"/>
  <c r="J67" i="42" s="1"/>
  <c r="D52" i="41"/>
  <c r="D110" i="41" s="1"/>
  <c r="D21" i="41"/>
  <c r="D22" i="41"/>
  <c r="D30" i="41"/>
  <c r="D31" i="41"/>
  <c r="D89" i="41" s="1"/>
  <c r="D37" i="41"/>
  <c r="D95" i="41" s="1"/>
  <c r="D38" i="41"/>
  <c r="D96" i="41" s="1"/>
  <c r="D44" i="41"/>
  <c r="D45" i="41"/>
  <c r="D103" i="41" s="1"/>
  <c r="D46" i="41"/>
  <c r="D104" i="41" s="1"/>
  <c r="D47" i="41"/>
  <c r="D105" i="41" s="1"/>
  <c r="D54" i="41"/>
  <c r="D112" i="41" s="1"/>
  <c r="D55" i="41"/>
  <c r="D113" i="41" s="1"/>
  <c r="D111" i="41"/>
  <c r="F111" i="41" s="1"/>
  <c r="D9" i="41"/>
  <c r="D67" i="41" s="1"/>
  <c r="F67" i="41" s="1"/>
  <c r="D10" i="41"/>
  <c r="D68" i="41" s="1"/>
  <c r="D11" i="41"/>
  <c r="D12" i="41"/>
  <c r="D13" i="41"/>
  <c r="D14" i="41"/>
  <c r="D15" i="41"/>
  <c r="D16" i="41"/>
  <c r="D74" i="41" s="1"/>
  <c r="H74" i="41" s="1"/>
  <c r="D57" i="41"/>
  <c r="D115" i="41" s="1"/>
  <c r="G115" i="41" s="1"/>
  <c r="D58" i="41"/>
  <c r="D116" i="41" s="1"/>
  <c r="G116" i="41" s="1"/>
  <c r="D59" i="41"/>
  <c r="D79" i="41"/>
  <c r="D85" i="41"/>
  <c r="F85" i="41" s="1"/>
  <c r="I94" i="41"/>
  <c r="F94" i="41"/>
  <c r="G94" i="41"/>
  <c r="I101" i="41"/>
  <c r="F101" i="41"/>
  <c r="H101" i="41"/>
  <c r="G101" i="41"/>
  <c r="D109" i="41"/>
  <c r="D37" i="40"/>
  <c r="D96" i="40" s="1"/>
  <c r="D11" i="40"/>
  <c r="D70" i="40" s="1"/>
  <c r="D13" i="40"/>
  <c r="D72" i="40" s="1"/>
  <c r="D16" i="40"/>
  <c r="D42" i="40"/>
  <c r="D43" i="40"/>
  <c r="D45" i="40"/>
  <c r="D48" i="40"/>
  <c r="D107" i="40" s="1"/>
  <c r="D35" i="40"/>
  <c r="D61" i="40"/>
  <c r="D120" i="40" s="1"/>
  <c r="G120" i="40" s="1"/>
  <c r="D20" i="40"/>
  <c r="D22" i="40"/>
  <c r="D36" i="40"/>
  <c r="D95" i="40" s="1"/>
  <c r="G95" i="40" s="1"/>
  <c r="D38" i="40"/>
  <c r="D52" i="40"/>
  <c r="D111" i="40" s="1"/>
  <c r="D54" i="40"/>
  <c r="D12" i="40"/>
  <c r="D14" i="40"/>
  <c r="D28" i="40"/>
  <c r="D30" i="40"/>
  <c r="D44" i="40"/>
  <c r="D46" i="40"/>
  <c r="D60" i="40"/>
  <c r="D119" i="40" s="1"/>
  <c r="I119" i="40" s="1"/>
  <c r="C65" i="59"/>
  <c r="C75" i="59"/>
  <c r="C79" i="59"/>
  <c r="C48" i="59"/>
  <c r="C52" i="59"/>
  <c r="C63" i="59"/>
  <c r="C76" i="59"/>
  <c r="C55" i="59"/>
  <c r="C58" i="59"/>
  <c r="C80" i="59"/>
  <c r="C37" i="59"/>
  <c r="C16" i="59"/>
  <c r="C31" i="59"/>
  <c r="C8" i="59"/>
  <c r="C36" i="59"/>
  <c r="O40" i="5"/>
  <c r="S69" i="5" s="1"/>
  <c r="O36" i="5"/>
  <c r="O32" i="5"/>
  <c r="S61" i="5" s="1"/>
  <c r="O28" i="5"/>
  <c r="O24" i="5"/>
  <c r="O20" i="5"/>
  <c r="O66" i="5" s="1"/>
  <c r="O16" i="5"/>
  <c r="O12" i="5"/>
  <c r="O39" i="5"/>
  <c r="O35" i="5"/>
  <c r="S64" i="5" s="1"/>
  <c r="O31" i="5"/>
  <c r="O27" i="5"/>
  <c r="O23" i="5"/>
  <c r="O69" i="5" s="1"/>
  <c r="O19" i="5"/>
  <c r="O65" i="5" s="1"/>
  <c r="O15" i="5"/>
  <c r="O61" i="5" s="1"/>
  <c r="O38" i="5"/>
  <c r="S67" i="5" s="1"/>
  <c r="O34" i="5"/>
  <c r="O30" i="5"/>
  <c r="O26" i="5"/>
  <c r="O72" i="5" s="1"/>
  <c r="O22" i="5"/>
  <c r="O18" i="5"/>
  <c r="O64" i="5" s="1"/>
  <c r="O10" i="5"/>
  <c r="D54" i="2"/>
  <c r="C71" i="2"/>
  <c r="F72" i="2"/>
  <c r="C65" i="2"/>
  <c r="C67" i="2" s="1"/>
  <c r="F54" i="2"/>
  <c r="E87" i="4"/>
  <c r="B83" i="3"/>
  <c r="F80" i="57" s="1"/>
  <c r="B81" i="3"/>
  <c r="F78" i="57" s="1"/>
  <c r="B74" i="3"/>
  <c r="F71" i="57" s="1"/>
  <c r="B72" i="3"/>
  <c r="B70" i="3"/>
  <c r="B63" i="3"/>
  <c r="B61" i="3"/>
  <c r="F58" i="57" s="1"/>
  <c r="B57" i="3"/>
  <c r="B82" i="3"/>
  <c r="G85" i="4" s="1"/>
  <c r="B75" i="3"/>
  <c r="B71" i="3"/>
  <c r="B69" i="3"/>
  <c r="B64" i="3"/>
  <c r="F61" i="57" s="1"/>
  <c r="B62" i="3"/>
  <c r="F59" i="57" s="1"/>
  <c r="B60" i="3"/>
  <c r="B58" i="3"/>
  <c r="F55" i="57" s="1"/>
  <c r="B56" i="3"/>
  <c r="B54" i="3"/>
  <c r="E84" i="3"/>
  <c r="I70" i="58" s="1"/>
  <c r="B76" i="3"/>
  <c r="G79" i="4" s="1"/>
  <c r="B22" i="3"/>
  <c r="B11" i="3"/>
  <c r="B29" i="3"/>
  <c r="B26" i="3"/>
  <c r="E42" i="3"/>
  <c r="B31" i="3"/>
  <c r="G76" i="4" s="1"/>
  <c r="D117" i="41"/>
  <c r="H106" i="41"/>
  <c r="D98" i="41"/>
  <c r="D100" i="41"/>
  <c r="D93" i="41"/>
  <c r="D91" i="41"/>
  <c r="F87" i="41"/>
  <c r="I87" i="41"/>
  <c r="G87" i="41"/>
  <c r="D82" i="41"/>
  <c r="G82" i="41" s="1"/>
  <c r="D83" i="41"/>
  <c r="G78" i="41"/>
  <c r="F78" i="41"/>
  <c r="H75" i="41"/>
  <c r="I75" i="41"/>
  <c r="F75" i="41"/>
  <c r="D71" i="41"/>
  <c r="D73" i="41"/>
  <c r="F73" i="41" s="1"/>
  <c r="D70" i="41"/>
  <c r="G75" i="41"/>
  <c r="D15" i="40"/>
  <c r="D39" i="40"/>
  <c r="D55" i="40"/>
  <c r="D23" i="40"/>
  <c r="D82" i="40" s="1"/>
  <c r="D31" i="40"/>
  <c r="D47" i="40"/>
  <c r="D17" i="40"/>
  <c r="D25" i="40"/>
  <c r="D33" i="40"/>
  <c r="D41" i="40"/>
  <c r="D49" i="40"/>
  <c r="D57" i="40"/>
  <c r="D10" i="40"/>
  <c r="C51" i="59"/>
  <c r="I81" i="59"/>
  <c r="C69" i="59"/>
  <c r="C71" i="59"/>
  <c r="C74" i="59"/>
  <c r="C34" i="59"/>
  <c r="C29" i="59"/>
  <c r="C26" i="59"/>
  <c r="C21" i="59"/>
  <c r="C18" i="59"/>
  <c r="C13" i="59"/>
  <c r="C38" i="59"/>
  <c r="C33" i="59"/>
  <c r="C30" i="59"/>
  <c r="C25" i="59"/>
  <c r="C22" i="59"/>
  <c r="C17" i="59"/>
  <c r="C14" i="59"/>
  <c r="C12" i="59"/>
  <c r="C10" i="59"/>
  <c r="F41" i="59"/>
  <c r="Q72" i="5"/>
  <c r="Q78" i="5" s="1"/>
  <c r="B59" i="3"/>
  <c r="F56" i="57" s="1"/>
  <c r="H84" i="3"/>
  <c r="J43" i="5" s="1"/>
  <c r="B55" i="3"/>
  <c r="D87" i="4"/>
  <c r="B32" i="3"/>
  <c r="B30" i="3"/>
  <c r="H42" i="3"/>
  <c r="B12" i="3"/>
  <c r="H4" i="57"/>
  <c r="D89" i="2" l="1"/>
  <c r="C89" i="2"/>
  <c r="M54" i="58"/>
  <c r="N54" i="58" s="1"/>
  <c r="M56" i="58"/>
  <c r="M76" i="58"/>
  <c r="N76" i="58" s="1"/>
  <c r="M74" i="58"/>
  <c r="N74" i="58" s="1"/>
  <c r="M71" i="58"/>
  <c r="M60" i="58"/>
  <c r="N60" i="58" s="1"/>
  <c r="M50" i="58"/>
  <c r="M48" i="58"/>
  <c r="N48" i="58" s="1"/>
  <c r="M73" i="58"/>
  <c r="M62" i="58"/>
  <c r="N62" i="58" s="1"/>
  <c r="M57" i="58"/>
  <c r="M75" i="58"/>
  <c r="N75" i="58" s="1"/>
  <c r="M72" i="58"/>
  <c r="N72" i="58" s="1"/>
  <c r="M58" i="58"/>
  <c r="N58" i="58" s="1"/>
  <c r="F75" i="57"/>
  <c r="F79" i="57"/>
  <c r="C62" i="2"/>
  <c r="C54" i="2"/>
  <c r="G55" i="4"/>
  <c r="M79" i="58"/>
  <c r="M61" i="58"/>
  <c r="M77" i="58"/>
  <c r="N77" i="58" s="1"/>
  <c r="M78" i="58"/>
  <c r="N78" i="58" s="1"/>
  <c r="M51" i="58"/>
  <c r="N51" i="58" s="1"/>
  <c r="M66" i="58"/>
  <c r="N66" i="58" s="1"/>
  <c r="M55" i="58"/>
  <c r="N55" i="58" s="1"/>
  <c r="L81" i="58"/>
  <c r="G75" i="4"/>
  <c r="M64" i="58"/>
  <c r="N64" i="58" s="1"/>
  <c r="K81" i="58"/>
  <c r="G65" i="4"/>
  <c r="M59" i="58"/>
  <c r="M65" i="58"/>
  <c r="M80" i="58"/>
  <c r="N80" i="58" s="1"/>
  <c r="M49" i="58"/>
  <c r="N49" i="58" s="1"/>
  <c r="M52" i="58"/>
  <c r="M68" i="58"/>
  <c r="M63" i="58"/>
  <c r="N63" i="58" s="1"/>
  <c r="M53" i="58"/>
  <c r="N53" i="58" s="1"/>
  <c r="M69" i="58"/>
  <c r="M70" i="58"/>
  <c r="M67" i="58"/>
  <c r="N67" i="58" s="1"/>
  <c r="B102" i="3"/>
  <c r="I57" i="57"/>
  <c r="C57" i="57"/>
  <c r="H57" i="57"/>
  <c r="G57" i="57"/>
  <c r="D19" i="5"/>
  <c r="E57" i="57"/>
  <c r="D57" i="57"/>
  <c r="B118" i="3"/>
  <c r="I73" i="57"/>
  <c r="H73" i="57"/>
  <c r="G73" i="57"/>
  <c r="D35" i="5"/>
  <c r="C73" i="57"/>
  <c r="E73" i="57"/>
  <c r="D73" i="57"/>
  <c r="B121" i="3"/>
  <c r="D76" i="57"/>
  <c r="C76" i="57"/>
  <c r="I76" i="57"/>
  <c r="H76" i="57"/>
  <c r="G76" i="57"/>
  <c r="D38" i="5"/>
  <c r="E76" i="57"/>
  <c r="F76" i="57"/>
  <c r="I66" i="58"/>
  <c r="I65" i="58"/>
  <c r="F73" i="57"/>
  <c r="I78" i="58"/>
  <c r="F69" i="58"/>
  <c r="F70" i="58"/>
  <c r="F58" i="58"/>
  <c r="F73" i="58"/>
  <c r="Q50" i="58" s="1"/>
  <c r="G43" i="5"/>
  <c r="I53" i="58"/>
  <c r="F77" i="58"/>
  <c r="F51" i="58"/>
  <c r="F66" i="58"/>
  <c r="F48" i="58"/>
  <c r="AE49" i="58"/>
  <c r="E81" i="58"/>
  <c r="Q48" i="58"/>
  <c r="I64" i="58"/>
  <c r="B112" i="3"/>
  <c r="C67" i="57"/>
  <c r="I67" i="57"/>
  <c r="E67" i="57"/>
  <c r="H67" i="57"/>
  <c r="G67" i="57"/>
  <c r="D29" i="5"/>
  <c r="D67" i="57"/>
  <c r="B119" i="3"/>
  <c r="I74" i="57"/>
  <c r="H74" i="57"/>
  <c r="D74" i="57"/>
  <c r="G74" i="57"/>
  <c r="D36" i="5"/>
  <c r="E74" i="57"/>
  <c r="C74" i="57"/>
  <c r="B96" i="3"/>
  <c r="C51" i="57"/>
  <c r="E51" i="57"/>
  <c r="I51" i="57"/>
  <c r="D13" i="5"/>
  <c r="H51" i="57"/>
  <c r="G51" i="57"/>
  <c r="D51" i="57"/>
  <c r="B117" i="3"/>
  <c r="H72" i="57"/>
  <c r="G72" i="57"/>
  <c r="D34" i="5"/>
  <c r="E72" i="57"/>
  <c r="D72" i="57"/>
  <c r="C72" i="57"/>
  <c r="I72" i="57"/>
  <c r="B114" i="3"/>
  <c r="E69" i="57"/>
  <c r="D69" i="57"/>
  <c r="C69" i="57"/>
  <c r="G69" i="57"/>
  <c r="I69" i="57"/>
  <c r="H69" i="57"/>
  <c r="D31" i="5"/>
  <c r="B108" i="3"/>
  <c r="G63" i="57"/>
  <c r="D25" i="5"/>
  <c r="E63" i="57"/>
  <c r="I63" i="57"/>
  <c r="D63" i="57"/>
  <c r="C63" i="57"/>
  <c r="H63" i="57"/>
  <c r="B120" i="3"/>
  <c r="C75" i="57"/>
  <c r="I75" i="57"/>
  <c r="E75" i="57"/>
  <c r="H75" i="57"/>
  <c r="G75" i="57"/>
  <c r="D37" i="5"/>
  <c r="D75" i="57"/>
  <c r="B115" i="3"/>
  <c r="H70" i="57"/>
  <c r="E70" i="57"/>
  <c r="D70" i="57"/>
  <c r="C70" i="57"/>
  <c r="I70" i="57"/>
  <c r="D32" i="5"/>
  <c r="G70" i="57"/>
  <c r="I76" i="58"/>
  <c r="I63" i="58"/>
  <c r="F63" i="58"/>
  <c r="F59" i="58"/>
  <c r="F74" i="58"/>
  <c r="Q49" i="58"/>
  <c r="F56" i="58"/>
  <c r="G81" i="58"/>
  <c r="G86" i="4"/>
  <c r="B111" i="3"/>
  <c r="I66" i="57"/>
  <c r="H66" i="57"/>
  <c r="G66" i="57"/>
  <c r="D28" i="5"/>
  <c r="D66" i="57"/>
  <c r="E66" i="57"/>
  <c r="C66" i="57"/>
  <c r="I58" i="58"/>
  <c r="B122" i="3"/>
  <c r="B95" i="3"/>
  <c r="I50" i="57"/>
  <c r="D12" i="5"/>
  <c r="H50" i="57"/>
  <c r="G50" i="57"/>
  <c r="D50" i="57"/>
  <c r="E50" i="57"/>
  <c r="C50" i="57"/>
  <c r="I71" i="58"/>
  <c r="B98" i="3"/>
  <c r="E53" i="57"/>
  <c r="D53" i="57"/>
  <c r="G53" i="57"/>
  <c r="C53" i="57"/>
  <c r="I53" i="57"/>
  <c r="H53" i="57"/>
  <c r="D15" i="5"/>
  <c r="B124" i="3"/>
  <c r="G79" i="57"/>
  <c r="D41" i="5"/>
  <c r="E79" i="57"/>
  <c r="D79" i="57"/>
  <c r="I79" i="57"/>
  <c r="C79" i="57"/>
  <c r="H79" i="57"/>
  <c r="B116" i="3"/>
  <c r="G71" i="57"/>
  <c r="D33" i="5"/>
  <c r="E71" i="57"/>
  <c r="I71" i="57"/>
  <c r="D71" i="57"/>
  <c r="C71" i="57"/>
  <c r="H71" i="57"/>
  <c r="B94" i="3"/>
  <c r="I49" i="57"/>
  <c r="C49" i="57"/>
  <c r="H49" i="57"/>
  <c r="G49" i="57"/>
  <c r="E49" i="57"/>
  <c r="D49" i="57"/>
  <c r="D11" i="5"/>
  <c r="I48" i="58"/>
  <c r="I68" i="58"/>
  <c r="F51" i="57"/>
  <c r="F63" i="57"/>
  <c r="I57" i="58"/>
  <c r="F69" i="57"/>
  <c r="I77" i="58"/>
  <c r="I50" i="58"/>
  <c r="F55" i="58"/>
  <c r="Q51" i="58"/>
  <c r="F52" i="58"/>
  <c r="F67" i="58"/>
  <c r="F64" i="58"/>
  <c r="B105" i="3"/>
  <c r="D60" i="57"/>
  <c r="C60" i="57"/>
  <c r="I60" i="57"/>
  <c r="H60" i="57"/>
  <c r="G60" i="57"/>
  <c r="D22" i="5"/>
  <c r="E60" i="57"/>
  <c r="I52" i="58"/>
  <c r="B113" i="3"/>
  <c r="D68" i="57"/>
  <c r="C68" i="57"/>
  <c r="I68" i="57"/>
  <c r="H68" i="57"/>
  <c r="G68" i="57"/>
  <c r="D30" i="5"/>
  <c r="E68" i="57"/>
  <c r="I56" i="58"/>
  <c r="B97" i="3"/>
  <c r="D52" i="57"/>
  <c r="C52" i="57"/>
  <c r="I52" i="57"/>
  <c r="H52" i="57"/>
  <c r="G52" i="57"/>
  <c r="D14" i="5"/>
  <c r="E52" i="57"/>
  <c r="B100" i="3"/>
  <c r="G55" i="57"/>
  <c r="D17" i="5"/>
  <c r="E55" i="57"/>
  <c r="D55" i="57"/>
  <c r="I55" i="57"/>
  <c r="C55" i="57"/>
  <c r="H55" i="57"/>
  <c r="B123" i="3"/>
  <c r="E78" i="57"/>
  <c r="D78" i="57"/>
  <c r="H78" i="57"/>
  <c r="C78" i="57"/>
  <c r="I78" i="57"/>
  <c r="G78" i="57"/>
  <c r="D40" i="5"/>
  <c r="B93" i="3"/>
  <c r="H48" i="57"/>
  <c r="G48" i="57"/>
  <c r="D10" i="5"/>
  <c r="E48" i="57"/>
  <c r="D48" i="57"/>
  <c r="C48" i="57"/>
  <c r="I48" i="57"/>
  <c r="B110" i="3"/>
  <c r="I65" i="57"/>
  <c r="C65" i="57"/>
  <c r="H65" i="57"/>
  <c r="G65" i="57"/>
  <c r="D27" i="5"/>
  <c r="E65" i="57"/>
  <c r="D65" i="57"/>
  <c r="F68" i="57"/>
  <c r="I51" i="58"/>
  <c r="I79" i="58"/>
  <c r="I49" i="58"/>
  <c r="F57" i="57"/>
  <c r="I59" i="58"/>
  <c r="F79" i="58"/>
  <c r="F60" i="58"/>
  <c r="F75" i="58"/>
  <c r="F72" i="58"/>
  <c r="F74" i="57"/>
  <c r="B125" i="3"/>
  <c r="H80" i="57"/>
  <c r="G80" i="57"/>
  <c r="D42" i="5"/>
  <c r="E80" i="57"/>
  <c r="D80" i="57"/>
  <c r="C80" i="57"/>
  <c r="I80" i="57"/>
  <c r="B107" i="3"/>
  <c r="E62" i="57"/>
  <c r="H62" i="57"/>
  <c r="D62" i="57"/>
  <c r="C62" i="57"/>
  <c r="I62" i="57"/>
  <c r="G62" i="57"/>
  <c r="D24" i="5"/>
  <c r="G83" i="4"/>
  <c r="E77" i="57"/>
  <c r="G77" i="57"/>
  <c r="D77" i="57"/>
  <c r="C77" i="57"/>
  <c r="I77" i="57"/>
  <c r="H77" i="57"/>
  <c r="D39" i="5"/>
  <c r="I60" i="58"/>
  <c r="I80" i="58"/>
  <c r="F67" i="57"/>
  <c r="I69" i="58"/>
  <c r="B101" i="3"/>
  <c r="H56" i="57"/>
  <c r="G56" i="57"/>
  <c r="D18" i="5"/>
  <c r="E56" i="57"/>
  <c r="D56" i="57"/>
  <c r="C56" i="57"/>
  <c r="I56" i="57"/>
  <c r="G56" i="4"/>
  <c r="B104" i="3"/>
  <c r="C59" i="57"/>
  <c r="I59" i="57"/>
  <c r="E59" i="57"/>
  <c r="H59" i="57"/>
  <c r="G59" i="57"/>
  <c r="D21" i="5"/>
  <c r="D59" i="57"/>
  <c r="G60" i="4"/>
  <c r="E54" i="57"/>
  <c r="D54" i="57"/>
  <c r="H54" i="57"/>
  <c r="C54" i="57"/>
  <c r="I54" i="57"/>
  <c r="D16" i="5"/>
  <c r="G54" i="57"/>
  <c r="F52" i="57"/>
  <c r="F60" i="57"/>
  <c r="I72" i="58"/>
  <c r="F66" i="57"/>
  <c r="F54" i="57"/>
  <c r="F62" i="57"/>
  <c r="F53" i="58"/>
  <c r="F76" i="58"/>
  <c r="F78" i="58"/>
  <c r="F57" i="58"/>
  <c r="B109" i="3"/>
  <c r="H64" i="57"/>
  <c r="G64" i="57"/>
  <c r="D26" i="5"/>
  <c r="E64" i="57"/>
  <c r="D64" i="57"/>
  <c r="C64" i="57"/>
  <c r="I64" i="57"/>
  <c r="I54" i="58"/>
  <c r="I62" i="58"/>
  <c r="F71" i="58"/>
  <c r="F68" i="58"/>
  <c r="F49" i="58"/>
  <c r="G70" i="4"/>
  <c r="G63" i="4"/>
  <c r="B106" i="3"/>
  <c r="E61" i="57"/>
  <c r="D61" i="57"/>
  <c r="C61" i="57"/>
  <c r="G61" i="57"/>
  <c r="I61" i="57"/>
  <c r="H61" i="57"/>
  <c r="D23" i="5"/>
  <c r="B103" i="3"/>
  <c r="I58" i="57"/>
  <c r="D58" i="57"/>
  <c r="H58" i="57"/>
  <c r="G58" i="57"/>
  <c r="D20" i="5"/>
  <c r="E58" i="57"/>
  <c r="C58" i="57"/>
  <c r="F72" i="57"/>
  <c r="I67" i="58"/>
  <c r="F53" i="57"/>
  <c r="I61" i="58"/>
  <c r="I73" i="58"/>
  <c r="I75" i="58"/>
  <c r="F61" i="58"/>
  <c r="F54" i="58"/>
  <c r="F50" i="58"/>
  <c r="F65" i="58"/>
  <c r="I55" i="58"/>
  <c r="I74" i="58"/>
  <c r="N11" i="5"/>
  <c r="N57" i="5" s="1"/>
  <c r="I90" i="41"/>
  <c r="G90" i="41"/>
  <c r="C72" i="2"/>
  <c r="G82" i="4"/>
  <c r="G67" i="4"/>
  <c r="J73" i="63"/>
  <c r="F106" i="41"/>
  <c r="G106" i="41"/>
  <c r="G66" i="4"/>
  <c r="G54" i="4"/>
  <c r="G61" i="4"/>
  <c r="G71" i="4"/>
  <c r="G58" i="4"/>
  <c r="H108" i="41"/>
  <c r="I108" i="41"/>
  <c r="I114" i="41"/>
  <c r="F114" i="41"/>
  <c r="G114" i="41"/>
  <c r="H81" i="41"/>
  <c r="F81" i="41"/>
  <c r="I97" i="41"/>
  <c r="G97" i="41"/>
  <c r="F97" i="41"/>
  <c r="F90" i="41"/>
  <c r="G85" i="41"/>
  <c r="F118" i="41"/>
  <c r="G118" i="41"/>
  <c r="D102" i="41"/>
  <c r="I102" i="41" s="1"/>
  <c r="D88" i="41"/>
  <c r="I88" i="41" s="1"/>
  <c r="D72" i="41"/>
  <c r="H72" i="41" s="1"/>
  <c r="D81" i="40"/>
  <c r="J81" i="40" s="1"/>
  <c r="H120" i="40"/>
  <c r="D75" i="40"/>
  <c r="H75" i="40" s="1"/>
  <c r="G109" i="40"/>
  <c r="D118" i="40"/>
  <c r="I118" i="40" s="1"/>
  <c r="D87" i="40"/>
  <c r="J87" i="40" s="1"/>
  <c r="D84" i="40"/>
  <c r="J84" i="40" s="1"/>
  <c r="C81" i="59"/>
  <c r="N19" i="5"/>
  <c r="N65" i="5" s="1"/>
  <c r="B99" i="3"/>
  <c r="G59" i="4"/>
  <c r="G84" i="4"/>
  <c r="N18" i="5"/>
  <c r="N64" i="5" s="1"/>
  <c r="D112" i="40"/>
  <c r="J112" i="40" s="1"/>
  <c r="D80" i="41"/>
  <c r="I80" i="41" s="1"/>
  <c r="D110" i="40"/>
  <c r="I81" i="41"/>
  <c r="G81" i="41"/>
  <c r="G78" i="4"/>
  <c r="O62" i="5"/>
  <c r="G72" i="4"/>
  <c r="D68" i="40"/>
  <c r="H68" i="40" s="1"/>
  <c r="N41" i="5"/>
  <c r="R70" i="5" s="1"/>
  <c r="D121" i="40"/>
  <c r="J121" i="40" s="1"/>
  <c r="D69" i="41"/>
  <c r="F69" i="41" s="1"/>
  <c r="G57" i="4"/>
  <c r="D88" i="40"/>
  <c r="I88" i="40" s="1"/>
  <c r="D97" i="40"/>
  <c r="J97" i="40" s="1"/>
  <c r="D77" i="40"/>
  <c r="D99" i="40"/>
  <c r="H99" i="40" s="1"/>
  <c r="D113" i="40"/>
  <c r="H113" i="40" s="1"/>
  <c r="D115" i="40"/>
  <c r="G115" i="40" s="1"/>
  <c r="D105" i="40"/>
  <c r="J105" i="40" s="1"/>
  <c r="D101" i="40"/>
  <c r="H101" i="40" s="1"/>
  <c r="D93" i="40"/>
  <c r="G93" i="40" s="1"/>
  <c r="D103" i="40"/>
  <c r="J103" i="40" s="1"/>
  <c r="D94" i="40"/>
  <c r="D117" i="40"/>
  <c r="D76" i="40"/>
  <c r="J76" i="40" s="1"/>
  <c r="D71" i="40"/>
  <c r="H71" i="40" s="1"/>
  <c r="I120" i="40"/>
  <c r="D73" i="40"/>
  <c r="H73" i="40" s="1"/>
  <c r="D70" i="48"/>
  <c r="D67" i="42" s="1"/>
  <c r="I67" i="41"/>
  <c r="H67" i="41"/>
  <c r="H111" i="41"/>
  <c r="I111" i="41"/>
  <c r="G111" i="41"/>
  <c r="G67" i="41"/>
  <c r="I103" i="41"/>
  <c r="F103" i="41"/>
  <c r="H103" i="41"/>
  <c r="G103" i="41"/>
  <c r="I85" i="41"/>
  <c r="G104" i="41"/>
  <c r="H104" i="41"/>
  <c r="G109" i="41"/>
  <c r="I109" i="41"/>
  <c r="F109" i="41"/>
  <c r="I99" i="41"/>
  <c r="H99" i="41"/>
  <c r="G99" i="41"/>
  <c r="F99" i="41"/>
  <c r="I113" i="41"/>
  <c r="G113" i="41"/>
  <c r="H113" i="41"/>
  <c r="F113" i="41"/>
  <c r="F116" i="41"/>
  <c r="I116" i="41"/>
  <c r="H85" i="41"/>
  <c r="G108" i="41"/>
  <c r="F108" i="41"/>
  <c r="I92" i="41"/>
  <c r="G92" i="41"/>
  <c r="F92" i="41"/>
  <c r="I77" i="41"/>
  <c r="G77" i="41"/>
  <c r="F77" i="41"/>
  <c r="I96" i="41"/>
  <c r="H96" i="41"/>
  <c r="F96" i="41"/>
  <c r="G96" i="41"/>
  <c r="I79" i="41"/>
  <c r="H79" i="41"/>
  <c r="G79" i="41"/>
  <c r="F79" i="41"/>
  <c r="G111" i="40"/>
  <c r="J111" i="40"/>
  <c r="H85" i="40"/>
  <c r="D79" i="40"/>
  <c r="H79" i="40" s="1"/>
  <c r="D89" i="40"/>
  <c r="G89" i="40" s="1"/>
  <c r="D102" i="40"/>
  <c r="D104" i="40"/>
  <c r="J104" i="40" s="1"/>
  <c r="D74" i="40"/>
  <c r="G74" i="40" s="1"/>
  <c r="D90" i="40"/>
  <c r="J90" i="40" s="1"/>
  <c r="H95" i="40"/>
  <c r="J95" i="40"/>
  <c r="C41" i="59"/>
  <c r="Y9" i="59" s="1"/>
  <c r="N22" i="5"/>
  <c r="N68" i="5" s="1"/>
  <c r="O68" i="5"/>
  <c r="S56" i="5"/>
  <c r="N27" i="5"/>
  <c r="R56" i="5" s="1"/>
  <c r="N36" i="5"/>
  <c r="R65" i="5" s="1"/>
  <c r="S65" i="5"/>
  <c r="N13" i="5"/>
  <c r="N59" i="5" s="1"/>
  <c r="N21" i="5"/>
  <c r="N67" i="5" s="1"/>
  <c r="N40" i="5"/>
  <c r="R69" i="5" s="1"/>
  <c r="N35" i="5"/>
  <c r="R64" i="5" s="1"/>
  <c r="O43" i="5"/>
  <c r="S72" i="5" s="1"/>
  <c r="N38" i="5"/>
  <c r="R67" i="5" s="1"/>
  <c r="N15" i="5"/>
  <c r="N61" i="5" s="1"/>
  <c r="S60" i="5"/>
  <c r="N31" i="5"/>
  <c r="R60" i="5" s="1"/>
  <c r="O70" i="5"/>
  <c r="N24" i="5"/>
  <c r="N70" i="5" s="1"/>
  <c r="N17" i="5"/>
  <c r="N63" i="5" s="1"/>
  <c r="N14" i="5"/>
  <c r="N60" i="5" s="1"/>
  <c r="N23" i="5"/>
  <c r="N69" i="5" s="1"/>
  <c r="N20" i="5"/>
  <c r="N66" i="5" s="1"/>
  <c r="N33" i="5"/>
  <c r="R62" i="5" s="1"/>
  <c r="O56" i="5"/>
  <c r="N25" i="5"/>
  <c r="N71" i="5" s="1"/>
  <c r="S59" i="5"/>
  <c r="N30" i="5"/>
  <c r="R59" i="5" s="1"/>
  <c r="N26" i="5"/>
  <c r="N72" i="5" s="1"/>
  <c r="O58" i="5"/>
  <c r="N28" i="5"/>
  <c r="R57" i="5" s="1"/>
  <c r="S57" i="5"/>
  <c r="N42" i="5"/>
  <c r="R71" i="5" s="1"/>
  <c r="N12" i="5"/>
  <c r="N58" i="5" s="1"/>
  <c r="N10" i="5"/>
  <c r="N56" i="5" s="1"/>
  <c r="N32" i="5"/>
  <c r="R61" i="5" s="1"/>
  <c r="N29" i="5"/>
  <c r="R58" i="5" s="1"/>
  <c r="S63" i="5"/>
  <c r="N34" i="5"/>
  <c r="R63" i="5" s="1"/>
  <c r="S68" i="5"/>
  <c r="N39" i="5"/>
  <c r="R68" i="5" s="1"/>
  <c r="N16" i="5"/>
  <c r="N62" i="5" s="1"/>
  <c r="N37" i="5"/>
  <c r="R66" i="5" s="1"/>
  <c r="G77" i="4"/>
  <c r="G73" i="4"/>
  <c r="G74" i="4"/>
  <c r="G64" i="4"/>
  <c r="G117" i="41"/>
  <c r="I117" i="41"/>
  <c r="F117" i="41"/>
  <c r="I115" i="41"/>
  <c r="F115" i="41"/>
  <c r="I107" i="41"/>
  <c r="H107" i="41"/>
  <c r="F107" i="41"/>
  <c r="G107" i="41"/>
  <c r="I110" i="41"/>
  <c r="G110" i="41"/>
  <c r="F110" i="41"/>
  <c r="H112" i="41"/>
  <c r="G112" i="41"/>
  <c r="I112" i="41"/>
  <c r="F112" i="41"/>
  <c r="I104" i="41"/>
  <c r="F104" i="41"/>
  <c r="I100" i="41"/>
  <c r="H100" i="41"/>
  <c r="G100" i="41"/>
  <c r="F100" i="41"/>
  <c r="I98" i="41"/>
  <c r="F98" i="41"/>
  <c r="G98" i="41"/>
  <c r="H105" i="41"/>
  <c r="F105" i="41"/>
  <c r="I105" i="41"/>
  <c r="G105" i="41"/>
  <c r="H95" i="41"/>
  <c r="F95" i="41"/>
  <c r="I95" i="41"/>
  <c r="G95" i="41"/>
  <c r="G93" i="41"/>
  <c r="I93" i="41"/>
  <c r="F93" i="41"/>
  <c r="H93" i="41"/>
  <c r="F91" i="41"/>
  <c r="I91" i="41"/>
  <c r="G91" i="41"/>
  <c r="H91" i="41"/>
  <c r="H89" i="41"/>
  <c r="G89" i="41"/>
  <c r="I89" i="41"/>
  <c r="F89" i="41"/>
  <c r="I86" i="41"/>
  <c r="H86" i="41"/>
  <c r="G86" i="41"/>
  <c r="F86" i="41"/>
  <c r="I84" i="41"/>
  <c r="F84" i="41"/>
  <c r="H84" i="41"/>
  <c r="G84" i="41"/>
  <c r="I82" i="41"/>
  <c r="F82" i="41"/>
  <c r="I76" i="41"/>
  <c r="F76" i="41"/>
  <c r="G76" i="41"/>
  <c r="G83" i="41"/>
  <c r="F83" i="41"/>
  <c r="I83" i="41"/>
  <c r="F80" i="41"/>
  <c r="H69" i="41"/>
  <c r="G69" i="41"/>
  <c r="G71" i="41"/>
  <c r="H71" i="41"/>
  <c r="F71" i="41"/>
  <c r="I71" i="41"/>
  <c r="H73" i="41"/>
  <c r="I73" i="41"/>
  <c r="G73" i="41"/>
  <c r="F74" i="41"/>
  <c r="I74" i="41"/>
  <c r="G74" i="41"/>
  <c r="F68" i="41"/>
  <c r="G68" i="41"/>
  <c r="I68" i="41"/>
  <c r="H68" i="41"/>
  <c r="H70" i="41"/>
  <c r="F70" i="41"/>
  <c r="I70" i="41"/>
  <c r="G70" i="41"/>
  <c r="D100" i="40"/>
  <c r="I85" i="40"/>
  <c r="D69" i="40"/>
  <c r="J85" i="40"/>
  <c r="D108" i="40"/>
  <c r="D98" i="40"/>
  <c r="D92" i="40"/>
  <c r="D116" i="40"/>
  <c r="D106" i="40"/>
  <c r="D114" i="40"/>
  <c r="J96" i="40"/>
  <c r="G96" i="40"/>
  <c r="I96" i="40"/>
  <c r="H96" i="40"/>
  <c r="I86" i="40"/>
  <c r="H86" i="40"/>
  <c r="J86" i="40"/>
  <c r="G86" i="40"/>
  <c r="G91" i="40"/>
  <c r="J91" i="40"/>
  <c r="H91" i="40"/>
  <c r="H72" i="40"/>
  <c r="G72" i="40"/>
  <c r="I72" i="40"/>
  <c r="J72" i="40"/>
  <c r="G119" i="40"/>
  <c r="J119" i="40"/>
  <c r="H119" i="40"/>
  <c r="H80" i="40"/>
  <c r="G80" i="40"/>
  <c r="I80" i="40"/>
  <c r="J80" i="40"/>
  <c r="I83" i="40"/>
  <c r="H83" i="40"/>
  <c r="J83" i="40"/>
  <c r="G83" i="40"/>
  <c r="G107" i="40"/>
  <c r="I107" i="40"/>
  <c r="J107" i="40"/>
  <c r="H82" i="40"/>
  <c r="G82" i="40"/>
  <c r="J82" i="40"/>
  <c r="H78" i="40"/>
  <c r="G78" i="40"/>
  <c r="I78" i="40"/>
  <c r="J78" i="40"/>
  <c r="G75" i="40"/>
  <c r="H70" i="40"/>
  <c r="G70" i="40"/>
  <c r="I70" i="40"/>
  <c r="J70" i="40"/>
  <c r="G62" i="4"/>
  <c r="B84" i="3"/>
  <c r="B42" i="3"/>
  <c r="C55" i="58" l="1"/>
  <c r="K69" i="63"/>
  <c r="M71" i="63" s="1"/>
  <c r="J57" i="58"/>
  <c r="Q47" i="58"/>
  <c r="C58" i="58"/>
  <c r="C80" i="58"/>
  <c r="N69" i="58"/>
  <c r="N71" i="58"/>
  <c r="N61" i="58"/>
  <c r="C49" i="58"/>
  <c r="N65" i="58"/>
  <c r="N56" i="58"/>
  <c r="N79" i="58"/>
  <c r="N73" i="58"/>
  <c r="N70" i="58"/>
  <c r="N59" i="58"/>
  <c r="N57" i="58"/>
  <c r="N68" i="58"/>
  <c r="M81" i="58"/>
  <c r="N52" i="58"/>
  <c r="N50" i="58"/>
  <c r="I81" i="57"/>
  <c r="H81" i="57"/>
  <c r="C81" i="57"/>
  <c r="G81" i="57"/>
  <c r="D43" i="5"/>
  <c r="E81" i="57"/>
  <c r="D81" i="57"/>
  <c r="J72" i="58"/>
  <c r="J75" i="58"/>
  <c r="C61" i="58"/>
  <c r="J80" i="58"/>
  <c r="C68" i="58"/>
  <c r="C70" i="58"/>
  <c r="C63" i="58"/>
  <c r="J64" i="58"/>
  <c r="J53" i="58"/>
  <c r="J73" i="58"/>
  <c r="C69" i="58"/>
  <c r="C72" i="58"/>
  <c r="C74" i="58"/>
  <c r="C67" i="58"/>
  <c r="J65" i="58"/>
  <c r="C73" i="58"/>
  <c r="C57" i="58"/>
  <c r="J74" i="58"/>
  <c r="J61" i="58"/>
  <c r="C54" i="58"/>
  <c r="C56" i="58"/>
  <c r="J59" i="58"/>
  <c r="C60" i="58"/>
  <c r="C53" i="58"/>
  <c r="J71" i="58"/>
  <c r="C66" i="58"/>
  <c r="F81" i="57"/>
  <c r="J66" i="58"/>
  <c r="J60" i="58"/>
  <c r="J55" i="58"/>
  <c r="C65" i="58"/>
  <c r="C75" i="58"/>
  <c r="J49" i="58"/>
  <c r="C78" i="58"/>
  <c r="J68" i="58"/>
  <c r="J62" i="58"/>
  <c r="C59" i="58"/>
  <c r="C77" i="58"/>
  <c r="C62" i="58"/>
  <c r="J79" i="58"/>
  <c r="J56" i="58"/>
  <c r="J48" i="58"/>
  <c r="I81" i="58"/>
  <c r="C71" i="58"/>
  <c r="J58" i="58"/>
  <c r="J67" i="58"/>
  <c r="C64" i="58"/>
  <c r="J54" i="58"/>
  <c r="J69" i="58"/>
  <c r="J51" i="58"/>
  <c r="C48" i="58"/>
  <c r="C52" i="58"/>
  <c r="J50" i="58"/>
  <c r="C79" i="58"/>
  <c r="C50" i="58"/>
  <c r="J63" i="58"/>
  <c r="C51" i="58"/>
  <c r="C76" i="58"/>
  <c r="J52" i="58"/>
  <c r="J77" i="58"/>
  <c r="J76" i="58"/>
  <c r="J78" i="58"/>
  <c r="J70" i="58"/>
  <c r="G88" i="40"/>
  <c r="G72" i="41"/>
  <c r="F72" i="41"/>
  <c r="I72" i="41"/>
  <c r="H103" i="40"/>
  <c r="I84" i="40"/>
  <c r="G118" i="40"/>
  <c r="I87" i="40"/>
  <c r="J118" i="40"/>
  <c r="H121" i="40"/>
  <c r="G87" i="4"/>
  <c r="G87" i="40"/>
  <c r="H87" i="40"/>
  <c r="J75" i="40"/>
  <c r="I75" i="40"/>
  <c r="H84" i="40"/>
  <c r="F88" i="41"/>
  <c r="G88" i="41"/>
  <c r="H88" i="41"/>
  <c r="H102" i="41"/>
  <c r="I103" i="40"/>
  <c r="F102" i="41"/>
  <c r="G80" i="41"/>
  <c r="H80" i="41"/>
  <c r="G102" i="41"/>
  <c r="I97" i="40"/>
  <c r="H81" i="40"/>
  <c r="H97" i="40"/>
  <c r="G97" i="40"/>
  <c r="I76" i="40"/>
  <c r="H118" i="40"/>
  <c r="G84" i="40"/>
  <c r="H74" i="40"/>
  <c r="I81" i="40"/>
  <c r="G81" i="40"/>
  <c r="G112" i="40"/>
  <c r="G113" i="40"/>
  <c r="G121" i="40"/>
  <c r="J99" i="40"/>
  <c r="I69" i="41"/>
  <c r="J115" i="40"/>
  <c r="G94" i="40"/>
  <c r="I94" i="40"/>
  <c r="I71" i="40"/>
  <c r="AA62" i="41"/>
  <c r="I113" i="40"/>
  <c r="D120" i="41"/>
  <c r="G119" i="41" s="1"/>
  <c r="J113" i="40"/>
  <c r="H112" i="40"/>
  <c r="G76" i="40"/>
  <c r="H88" i="40"/>
  <c r="G99" i="40"/>
  <c r="G73" i="40"/>
  <c r="I110" i="40"/>
  <c r="J110" i="40"/>
  <c r="G110" i="40"/>
  <c r="J79" i="40"/>
  <c r="H76" i="40"/>
  <c r="J88" i="40"/>
  <c r="G68" i="40"/>
  <c r="H93" i="40"/>
  <c r="J77" i="40"/>
  <c r="H77" i="40"/>
  <c r="J71" i="40"/>
  <c r="J93" i="40"/>
  <c r="J89" i="40"/>
  <c r="H94" i="40"/>
  <c r="G77" i="40"/>
  <c r="I77" i="40"/>
  <c r="G117" i="40"/>
  <c r="I117" i="40"/>
  <c r="H117" i="40"/>
  <c r="J117" i="40"/>
  <c r="J101" i="40"/>
  <c r="G71" i="40"/>
  <c r="H90" i="40"/>
  <c r="G104" i="40"/>
  <c r="H89" i="40"/>
  <c r="J68" i="40"/>
  <c r="G101" i="40"/>
  <c r="J94" i="40"/>
  <c r="I101" i="40"/>
  <c r="I90" i="40"/>
  <c r="I104" i="40"/>
  <c r="G90" i="40"/>
  <c r="J73" i="40"/>
  <c r="I73" i="40"/>
  <c r="J74" i="40"/>
  <c r="D122" i="40"/>
  <c r="G79" i="40"/>
  <c r="I74" i="40"/>
  <c r="J102" i="40"/>
  <c r="H102" i="40"/>
  <c r="G102" i="40"/>
  <c r="I79" i="40"/>
  <c r="I68" i="40"/>
  <c r="J106" i="40"/>
  <c r="G106" i="40"/>
  <c r="H106" i="40"/>
  <c r="H100" i="40"/>
  <c r="J100" i="40"/>
  <c r="G100" i="40"/>
  <c r="H98" i="40"/>
  <c r="I98" i="40"/>
  <c r="J98" i="40"/>
  <c r="G98" i="40"/>
  <c r="I114" i="40"/>
  <c r="G114" i="40"/>
  <c r="J114" i="40"/>
  <c r="H114" i="40"/>
  <c r="J116" i="40"/>
  <c r="J92" i="40"/>
  <c r="H92" i="40"/>
  <c r="I92" i="40"/>
  <c r="G92" i="40"/>
  <c r="J108" i="40"/>
  <c r="I108" i="40"/>
  <c r="G108" i="40"/>
  <c r="J69" i="40"/>
  <c r="G69" i="40"/>
  <c r="H69" i="40"/>
  <c r="I69" i="40"/>
  <c r="H85" i="3"/>
  <c r="G85" i="3"/>
  <c r="D85" i="3"/>
  <c r="E85" i="3"/>
  <c r="C85" i="3"/>
  <c r="F85" i="3"/>
  <c r="G43" i="3"/>
  <c r="C45" i="3"/>
  <c r="H43" i="3"/>
  <c r="F43" i="3"/>
  <c r="C43" i="3"/>
  <c r="E43" i="3"/>
  <c r="D43" i="3"/>
  <c r="D62" i="58" l="1"/>
  <c r="D77" i="58"/>
  <c r="D59" i="58"/>
  <c r="D60" i="58"/>
  <c r="D50" i="58"/>
  <c r="D57" i="58"/>
  <c r="D52" i="58"/>
  <c r="D63" i="58"/>
  <c r="D49" i="58"/>
  <c r="D48" i="58"/>
  <c r="C81" i="58"/>
  <c r="D80" i="58"/>
  <c r="D58" i="58"/>
  <c r="D56" i="58"/>
  <c r="D74" i="58"/>
  <c r="D70" i="58"/>
  <c r="D79" i="58"/>
  <c r="D65" i="58"/>
  <c r="D76" i="58"/>
  <c r="D54" i="58"/>
  <c r="D72" i="58"/>
  <c r="D68" i="58"/>
  <c r="D64" i="58"/>
  <c r="D73" i="58"/>
  <c r="D51" i="58"/>
  <c r="D78" i="58"/>
  <c r="D69" i="58"/>
  <c r="D75" i="58"/>
  <c r="D53" i="58"/>
  <c r="D71" i="58"/>
  <c r="D67" i="58"/>
  <c r="D66" i="58"/>
  <c r="D55" i="58"/>
  <c r="D61" i="58"/>
  <c r="F119" i="41"/>
  <c r="I119" i="41"/>
  <c r="H119" i="41"/>
  <c r="I122" i="40"/>
  <c r="J122" i="40"/>
  <c r="G122" i="40"/>
  <c r="H122" i="40"/>
  <c r="B85" i="3"/>
  <c r="B43" i="3"/>
  <c r="G121" i="41" l="1"/>
  <c r="K122" i="40"/>
  <c r="K123" i="40" s="1"/>
  <c r="F121" i="41"/>
  <c r="I121" i="41"/>
  <c r="J119" i="41"/>
  <c r="J120" i="41" s="1"/>
  <c r="H121" i="41"/>
  <c r="J121" i="41" l="1"/>
  <c r="J122" i="41" s="1"/>
  <c r="AH62" i="41" l="1"/>
  <c r="AB62" i="41"/>
  <c r="F45" i="2" l="1"/>
  <c r="D45" i="2"/>
  <c r="E45" i="2"/>
  <c r="D46" i="2"/>
  <c r="D47" i="2"/>
  <c r="E47" i="2"/>
  <c r="F46" i="2"/>
  <c r="C14" i="2"/>
  <c r="F47" i="2"/>
  <c r="E48" i="2" l="1"/>
  <c r="F48" i="2"/>
  <c r="D48" i="2"/>
  <c r="C47" i="2"/>
  <c r="C45" i="2"/>
  <c r="C32" i="2"/>
  <c r="C46" i="2"/>
  <c r="G30" i="2" l="1"/>
  <c r="G22" i="2"/>
  <c r="G32" i="2"/>
  <c r="G29" i="2"/>
  <c r="G21" i="2"/>
  <c r="G28" i="2"/>
  <c r="G20" i="2"/>
  <c r="G27" i="2"/>
  <c r="G19" i="2"/>
  <c r="G26" i="2"/>
  <c r="G18" i="2"/>
  <c r="G25" i="2"/>
  <c r="G24" i="2"/>
  <c r="G31" i="2"/>
  <c r="G23" i="2"/>
  <c r="G15" i="2"/>
  <c r="G17" i="2"/>
  <c r="G16" i="2"/>
  <c r="G13" i="2"/>
  <c r="G12" i="2"/>
  <c r="G11" i="2"/>
  <c r="G14" i="2"/>
  <c r="H21" i="2"/>
  <c r="J28" i="2"/>
  <c r="J18" i="2"/>
  <c r="J24" i="2"/>
  <c r="H26" i="2"/>
  <c r="I22" i="2"/>
  <c r="H20" i="2"/>
  <c r="J16" i="2"/>
  <c r="J20" i="2"/>
  <c r="J13" i="2"/>
  <c r="I17" i="2"/>
  <c r="H17" i="2"/>
  <c r="I23" i="2"/>
  <c r="J26" i="2"/>
  <c r="I27" i="2"/>
  <c r="H10" i="2"/>
  <c r="H14" i="2"/>
  <c r="J22" i="2"/>
  <c r="J21" i="2"/>
  <c r="I11" i="2"/>
  <c r="H27" i="2"/>
  <c r="H12" i="2"/>
  <c r="H30" i="2"/>
  <c r="H22" i="2"/>
  <c r="J15" i="2"/>
  <c r="J12" i="2"/>
  <c r="I14" i="2"/>
  <c r="I13" i="2"/>
  <c r="I10" i="2"/>
  <c r="G10" i="2"/>
  <c r="I19" i="2"/>
  <c r="H18" i="2"/>
  <c r="H23" i="2"/>
  <c r="J17" i="2"/>
  <c r="H25" i="2"/>
  <c r="J11" i="2"/>
  <c r="H24" i="2"/>
  <c r="H19" i="2"/>
  <c r="J29" i="2"/>
  <c r="J19" i="2"/>
  <c r="I25" i="2"/>
  <c r="I16" i="2"/>
  <c r="I26" i="2"/>
  <c r="I15" i="2"/>
  <c r="J25" i="2"/>
  <c r="I20" i="2"/>
  <c r="H28" i="2"/>
  <c r="J30" i="2"/>
  <c r="I30" i="2"/>
  <c r="I21" i="2"/>
  <c r="J10" i="2"/>
  <c r="I18" i="2"/>
  <c r="J23" i="2"/>
  <c r="H31" i="2"/>
  <c r="I29" i="2"/>
  <c r="I31" i="2"/>
  <c r="H16" i="2"/>
  <c r="I24" i="2"/>
  <c r="H11" i="2"/>
  <c r="J14" i="2"/>
  <c r="I12" i="2"/>
  <c r="H15" i="2"/>
  <c r="I28" i="2"/>
  <c r="J27" i="2"/>
  <c r="J31" i="2"/>
  <c r="H13" i="2"/>
  <c r="H29" i="2"/>
  <c r="C48" i="2"/>
  <c r="L21" i="2" l="1"/>
  <c r="I32" i="2"/>
  <c r="H32" i="2"/>
  <c r="L13" i="2"/>
  <c r="J32" i="2"/>
</calcChain>
</file>

<file path=xl/sharedStrings.xml><?xml version="1.0" encoding="utf-8"?>
<sst xmlns="http://schemas.openxmlformats.org/spreadsheetml/2006/main" count="3644" uniqueCount="575">
  <si>
    <t xml:space="preserve">   Totals</t>
  </si>
  <si>
    <t>Information source: complied from rate certificate files issued by the New Mexico Department of Finance and Administration.</t>
  </si>
  <si>
    <t>Table 18</t>
  </si>
  <si>
    <t>Percent of Total</t>
  </si>
  <si>
    <t>Ad Valorem</t>
  </si>
  <si>
    <t>Non-</t>
  </si>
  <si>
    <t>Production &amp;</t>
  </si>
  <si>
    <t>Recipient</t>
  </si>
  <si>
    <t>Total</t>
  </si>
  <si>
    <t>Residential</t>
  </si>
  <si>
    <t>Equipment</t>
  </si>
  <si>
    <t>State Debt Service</t>
  </si>
  <si>
    <t>County Operating</t>
  </si>
  <si>
    <t>County Debt Service</t>
  </si>
  <si>
    <t>County Other</t>
  </si>
  <si>
    <t>Total County</t>
  </si>
  <si>
    <t>Municipal Operating</t>
  </si>
  <si>
    <t>Municipal Debt Service</t>
  </si>
  <si>
    <t>Municipal Other</t>
  </si>
  <si>
    <t>Total Municipal</t>
  </si>
  <si>
    <t>School District Operating</t>
  </si>
  <si>
    <t>School District Debt Service</t>
  </si>
  <si>
    <t>School District Capital Improvement</t>
  </si>
  <si>
    <t>School District HB-33</t>
  </si>
  <si>
    <t>School District Educational Technology</t>
  </si>
  <si>
    <t>Total School District</t>
  </si>
  <si>
    <t>Grand Total</t>
  </si>
  <si>
    <t>County</t>
  </si>
  <si>
    <t>Nonresidential</t>
  </si>
  <si>
    <t>Subtotal</t>
  </si>
  <si>
    <t>Production</t>
  </si>
  <si>
    <t>Bernalillo</t>
  </si>
  <si>
    <t>Catron</t>
  </si>
  <si>
    <t>Chaves</t>
  </si>
  <si>
    <t>Cibola</t>
  </si>
  <si>
    <t>Colfax</t>
  </si>
  <si>
    <t>Curry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</si>
  <si>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</si>
  <si>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</si>
  <si>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</si>
  <si>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</si>
  <si>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</si>
  <si>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</si>
  <si>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</si>
  <si>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</si>
  <si>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</si>
  <si>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</si>
  <si>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</si>
  <si>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</si>
  <si>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</si>
  <si>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</si>
  <si>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</si>
  <si>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</si>
  <si>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</si>
  <si>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</si>
  <si>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</si>
  <si>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</si>
  <si>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</si>
  <si>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</si>
  <si>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</si>
  <si>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</si>
  <si>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</si>
  <si>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</si>
  <si>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 xml:space="preserve">   Total</t>
  </si>
  <si>
    <t>Estimated</t>
  </si>
  <si>
    <t>Population,</t>
  </si>
  <si>
    <t>residential</t>
  </si>
  <si>
    <t>De Baca</t>
  </si>
  <si>
    <t xml:space="preserve">   Total/Average</t>
  </si>
  <si>
    <t>N/A</t>
  </si>
  <si>
    <t>Per Capita Property Tax Obligations by New Mexico County, 2008 Tax Year</t>
  </si>
  <si>
    <r>
      <t>2005</t>
    </r>
    <r>
      <rPr>
        <vertAlign val="superscript"/>
        <sz val="10"/>
        <rFont val="Arial"/>
        <family val="2"/>
      </rPr>
      <t>1</t>
    </r>
  </si>
  <si>
    <t>Non-residential</t>
  </si>
  <si>
    <t>Table 8</t>
  </si>
  <si>
    <t>Tax</t>
  </si>
  <si>
    <t>Municipality</t>
  </si>
  <si>
    <t>Albuquerque</t>
  </si>
  <si>
    <t>12 In</t>
  </si>
  <si>
    <t>Hope</t>
  </si>
  <si>
    <t xml:space="preserve">16D In  </t>
  </si>
  <si>
    <t>1 OUT</t>
  </si>
  <si>
    <t>21 OUT</t>
  </si>
  <si>
    <t>Los Ranchos</t>
  </si>
  <si>
    <t>(continued)</t>
  </si>
  <si>
    <t>C Out</t>
  </si>
  <si>
    <t>4 OUT</t>
  </si>
  <si>
    <t>Tijeras</t>
  </si>
  <si>
    <t xml:space="preserve">10 Out </t>
  </si>
  <si>
    <t>11 OUT</t>
  </si>
  <si>
    <t>C IN</t>
  </si>
  <si>
    <t>Corrales</t>
  </si>
  <si>
    <t>2A In</t>
  </si>
  <si>
    <t xml:space="preserve">16 Out </t>
  </si>
  <si>
    <t>Espanola</t>
  </si>
  <si>
    <t>18 IN</t>
  </si>
  <si>
    <t>Rio Rancho</t>
  </si>
  <si>
    <t>R1-A NR</t>
  </si>
  <si>
    <t>Silver City</t>
  </si>
  <si>
    <t>1 IN</t>
  </si>
  <si>
    <t>Tucumcari</t>
  </si>
  <si>
    <t>Edgewood</t>
  </si>
  <si>
    <t>8T IN</t>
  </si>
  <si>
    <t>12 Out</t>
  </si>
  <si>
    <t>Hurley</t>
  </si>
  <si>
    <t>2H IN</t>
  </si>
  <si>
    <t>House</t>
  </si>
  <si>
    <t>19 IN</t>
  </si>
  <si>
    <t>C OUT</t>
  </si>
  <si>
    <t>8T</t>
  </si>
  <si>
    <t>Bayard</t>
  </si>
  <si>
    <t>2B IN</t>
  </si>
  <si>
    <t>Logan</t>
  </si>
  <si>
    <t>32 IN</t>
  </si>
  <si>
    <t>24 Out</t>
  </si>
  <si>
    <t>Santa Clara</t>
  </si>
  <si>
    <t>2C IN</t>
  </si>
  <si>
    <t>San Jon</t>
  </si>
  <si>
    <t>34 IN</t>
  </si>
  <si>
    <t>Reserve</t>
  </si>
  <si>
    <t>1 In</t>
  </si>
  <si>
    <t>18 OUT</t>
  </si>
  <si>
    <t>1 Out</t>
  </si>
  <si>
    <t>2 OUT</t>
  </si>
  <si>
    <t>19 OUT</t>
  </si>
  <si>
    <t>T or C</t>
  </si>
  <si>
    <t>6 IN</t>
  </si>
  <si>
    <t>2  Out</t>
  </si>
  <si>
    <t>Santa Rosa</t>
  </si>
  <si>
    <t>8 IN</t>
  </si>
  <si>
    <t>32 OUT</t>
  </si>
  <si>
    <t>Williamsburg</t>
  </si>
  <si>
    <t>6W IN</t>
  </si>
  <si>
    <t xml:space="preserve">2A Out   </t>
  </si>
  <si>
    <t>Vaughn</t>
  </si>
  <si>
    <t>33 IN</t>
  </si>
  <si>
    <t>34 OUT</t>
  </si>
  <si>
    <t>Elephant Butte</t>
  </si>
  <si>
    <t>6 EB</t>
  </si>
  <si>
    <t>Roswell</t>
  </si>
  <si>
    <t xml:space="preserve">1 in   </t>
  </si>
  <si>
    <t>Roy</t>
  </si>
  <si>
    <t>3 IN</t>
  </si>
  <si>
    <t>23/47</t>
  </si>
  <si>
    <t>6 OUT</t>
  </si>
  <si>
    <t>Hagerman</t>
  </si>
  <si>
    <t xml:space="preserve">6 in   </t>
  </si>
  <si>
    <t>Mosquero</t>
  </si>
  <si>
    <t>5 IN</t>
  </si>
  <si>
    <t>Dexter</t>
  </si>
  <si>
    <t xml:space="preserve">8 in   </t>
  </si>
  <si>
    <t>8 OUT</t>
  </si>
  <si>
    <t>Magdalena</t>
  </si>
  <si>
    <t>12 IN</t>
  </si>
  <si>
    <t>Lake Arthur</t>
  </si>
  <si>
    <t>33 OUT</t>
  </si>
  <si>
    <t>Chama</t>
  </si>
  <si>
    <t>3 OUT</t>
  </si>
  <si>
    <t>45 IN</t>
  </si>
  <si>
    <t>12 OUT</t>
  </si>
  <si>
    <t>6 Out</t>
  </si>
  <si>
    <t>5 OUT</t>
  </si>
  <si>
    <t>8 Out</t>
  </si>
  <si>
    <t>24/25</t>
  </si>
  <si>
    <t>21</t>
  </si>
  <si>
    <t>7L</t>
  </si>
  <si>
    <t>20 Out</t>
  </si>
  <si>
    <t>Lordsburg</t>
  </si>
  <si>
    <t>45 OUT</t>
  </si>
  <si>
    <t>13L</t>
  </si>
  <si>
    <t>Virden</t>
  </si>
  <si>
    <t>1A IN</t>
  </si>
  <si>
    <t>13T</t>
  </si>
  <si>
    <t>27/28</t>
  </si>
  <si>
    <t>6T</t>
  </si>
  <si>
    <t>1A OUT</t>
  </si>
  <si>
    <t>Questa</t>
  </si>
  <si>
    <t>9 IN</t>
  </si>
  <si>
    <t xml:space="preserve">1L  </t>
  </si>
  <si>
    <t>Portales</t>
  </si>
  <si>
    <t>Red River</t>
  </si>
  <si>
    <t>9RR  IN</t>
  </si>
  <si>
    <t>Grants</t>
  </si>
  <si>
    <t>3 In</t>
  </si>
  <si>
    <t>Lovington</t>
  </si>
  <si>
    <t>Elida</t>
  </si>
  <si>
    <t>2 IN</t>
  </si>
  <si>
    <t>Taos Ski Valley</t>
  </si>
  <si>
    <t>8-18 IN</t>
  </si>
  <si>
    <t>Milan</t>
  </si>
  <si>
    <t>3A In</t>
  </si>
  <si>
    <t>Eunice</t>
  </si>
  <si>
    <t>Floyd</t>
  </si>
  <si>
    <t>3 Out</t>
  </si>
  <si>
    <t>Hobbs</t>
  </si>
  <si>
    <t>16 IN</t>
  </si>
  <si>
    <t>Causey</t>
  </si>
  <si>
    <t>39A IN</t>
  </si>
  <si>
    <t>1A</t>
  </si>
  <si>
    <t>Qmo2</t>
  </si>
  <si>
    <t>Jal</t>
  </si>
  <si>
    <t>19 In</t>
  </si>
  <si>
    <t>Dora</t>
  </si>
  <si>
    <t>39 IN</t>
  </si>
  <si>
    <t>Cimarron</t>
  </si>
  <si>
    <t>Tatum</t>
  </si>
  <si>
    <t>28 IN</t>
  </si>
  <si>
    <t>Eagle Nest</t>
  </si>
  <si>
    <t>9 OUT</t>
  </si>
  <si>
    <t>Angel Fire</t>
  </si>
  <si>
    <t>3B In</t>
  </si>
  <si>
    <t>Estancia</t>
  </si>
  <si>
    <t>7 IN</t>
  </si>
  <si>
    <t>Raton</t>
  </si>
  <si>
    <t xml:space="preserve">11 in   </t>
  </si>
  <si>
    <t>16 OUT</t>
  </si>
  <si>
    <t>39 OUT</t>
  </si>
  <si>
    <t>Willard</t>
  </si>
  <si>
    <t>7W IN</t>
  </si>
  <si>
    <t>Springer</t>
  </si>
  <si>
    <t>24 In</t>
  </si>
  <si>
    <t>Moriarty</t>
  </si>
  <si>
    <t>Maxwell</t>
  </si>
  <si>
    <t>26 In</t>
  </si>
  <si>
    <t>28 OUT</t>
  </si>
  <si>
    <t>9/53</t>
  </si>
  <si>
    <t>Mountainair</t>
  </si>
  <si>
    <t>13 IN</t>
  </si>
  <si>
    <t xml:space="preserve">3 Out   </t>
  </si>
  <si>
    <t>Ruidoso</t>
  </si>
  <si>
    <t>9A</t>
  </si>
  <si>
    <t>Encino</t>
  </si>
  <si>
    <t xml:space="preserve">11 Out </t>
  </si>
  <si>
    <t>Ruidoso Downs</t>
  </si>
  <si>
    <t>35 IN</t>
  </si>
  <si>
    <t>7 OUT</t>
  </si>
  <si>
    <t>Carrizozo</t>
  </si>
  <si>
    <t>Cuba</t>
  </si>
  <si>
    <t>20 IN</t>
  </si>
  <si>
    <t>26 Out</t>
  </si>
  <si>
    <t>Corona</t>
  </si>
  <si>
    <t>Jemez Springs</t>
  </si>
  <si>
    <t>31 IN</t>
  </si>
  <si>
    <t>13 OUT</t>
  </si>
  <si>
    <t>Capitan</t>
  </si>
  <si>
    <t>San Ysidro</t>
  </si>
  <si>
    <t>31A IN</t>
  </si>
  <si>
    <t>Clovis</t>
  </si>
  <si>
    <t>3/35 OUT</t>
  </si>
  <si>
    <t>2A IN</t>
  </si>
  <si>
    <t>20 / 35</t>
  </si>
  <si>
    <t>Texico</t>
  </si>
  <si>
    <t>2 In</t>
  </si>
  <si>
    <t>94 IN</t>
  </si>
  <si>
    <t>Clayton</t>
  </si>
  <si>
    <t>Melrose</t>
  </si>
  <si>
    <t>Des Moines</t>
  </si>
  <si>
    <t>22D IN</t>
  </si>
  <si>
    <t>Grady</t>
  </si>
  <si>
    <t>61 In</t>
  </si>
  <si>
    <t>20 OUT</t>
  </si>
  <si>
    <t>Folsom</t>
  </si>
  <si>
    <t>22F IN</t>
  </si>
  <si>
    <t>31 out</t>
  </si>
  <si>
    <t>Grenville</t>
  </si>
  <si>
    <t>22G IN</t>
  </si>
  <si>
    <t>2 Out</t>
  </si>
  <si>
    <t>2AC IN</t>
  </si>
  <si>
    <t>Deming</t>
  </si>
  <si>
    <t>94 OUT</t>
  </si>
  <si>
    <t>22 OUT</t>
  </si>
  <si>
    <t>61 Out</t>
  </si>
  <si>
    <t>Columbus</t>
  </si>
  <si>
    <t>Aztec</t>
  </si>
  <si>
    <t xml:space="preserve">De Baca </t>
  </si>
  <si>
    <t>Fort Sumner</t>
  </si>
  <si>
    <t xml:space="preserve">20 In  </t>
  </si>
  <si>
    <t>Farmington</t>
  </si>
  <si>
    <t>Los Lunas</t>
  </si>
  <si>
    <t>Gallup</t>
  </si>
  <si>
    <t>Bloomfield</t>
  </si>
  <si>
    <t>Bosque Farms</t>
  </si>
  <si>
    <t>Las Cruces</t>
  </si>
  <si>
    <t xml:space="preserve">2 In  </t>
  </si>
  <si>
    <t>Belen</t>
  </si>
  <si>
    <t>Mesilla</t>
  </si>
  <si>
    <t xml:space="preserve">2D In  </t>
  </si>
  <si>
    <t>Zuni</t>
  </si>
  <si>
    <t>Peralta</t>
  </si>
  <si>
    <t>PR IN</t>
  </si>
  <si>
    <t>Sunland Park</t>
  </si>
  <si>
    <t xml:space="preserve">16 In  </t>
  </si>
  <si>
    <t>Wagon Mound</t>
  </si>
  <si>
    <t>Hatch</t>
  </si>
  <si>
    <t xml:space="preserve">11 In  </t>
  </si>
  <si>
    <t xml:space="preserve">2 Out  </t>
  </si>
  <si>
    <t>61/20</t>
  </si>
  <si>
    <t>3LL OUT</t>
  </si>
  <si>
    <t xml:space="preserve">11 Out  </t>
  </si>
  <si>
    <t>12C</t>
  </si>
  <si>
    <t>Las Vegas</t>
  </si>
  <si>
    <t>3BN OUT</t>
  </si>
  <si>
    <t xml:space="preserve">16 Out  </t>
  </si>
  <si>
    <t>1-A</t>
  </si>
  <si>
    <t>PR OUT</t>
  </si>
  <si>
    <t>Carlsbad</t>
  </si>
  <si>
    <t xml:space="preserve">C In  </t>
  </si>
  <si>
    <t>Alamogordo</t>
  </si>
  <si>
    <t>Pecos</t>
  </si>
  <si>
    <t>21 IN</t>
  </si>
  <si>
    <t>Loving</t>
  </si>
  <si>
    <t xml:space="preserve">10 In  </t>
  </si>
  <si>
    <t>Tularosa</t>
  </si>
  <si>
    <t>4 IN</t>
  </si>
  <si>
    <t>Artesia</t>
  </si>
  <si>
    <t>Cloudcroft</t>
  </si>
  <si>
    <t>11 IN</t>
  </si>
  <si>
    <t>District</t>
  </si>
  <si>
    <t>Table 10</t>
  </si>
  <si>
    <t>Table 11</t>
  </si>
  <si>
    <t>Types</t>
  </si>
  <si>
    <t xml:space="preserve"> All Property</t>
  </si>
  <si>
    <t xml:space="preserve"> Ad Valorem</t>
  </si>
  <si>
    <t>20 In R</t>
  </si>
  <si>
    <t>1 Out R</t>
  </si>
  <si>
    <t>6</t>
  </si>
  <si>
    <t>Source: rate certificate files issued by the New Mexico Department of Finance and Administration's Local Government Division.</t>
  </si>
  <si>
    <t>Imposed</t>
  </si>
  <si>
    <t>Remaining</t>
  </si>
  <si>
    <t>Rate</t>
  </si>
  <si>
    <r>
      <t>Authority</t>
    </r>
    <r>
      <rPr>
        <vertAlign val="superscript"/>
        <sz val="10"/>
        <rFont val="Arial"/>
        <family val="2"/>
      </rPr>
      <t>1</t>
    </r>
  </si>
  <si>
    <t>Table 19</t>
  </si>
  <si>
    <t>Table 20</t>
  </si>
  <si>
    <t>Table 21</t>
  </si>
  <si>
    <t xml:space="preserve">  Total</t>
  </si>
  <si>
    <t>Percent of</t>
  </si>
  <si>
    <t>Rank</t>
  </si>
  <si>
    <t>Values</t>
  </si>
  <si>
    <t>Information Source: New Mexico Department of Finance and Administration rate certificate files.</t>
  </si>
  <si>
    <t xml:space="preserve">  Ad Valorem</t>
  </si>
  <si>
    <t xml:space="preserve">  Ad Valorem:</t>
  </si>
  <si>
    <t xml:space="preserve">  Subtotal</t>
  </si>
  <si>
    <t xml:space="preserve">     Total</t>
  </si>
  <si>
    <r>
      <t xml:space="preserve"> Per Capita Annual Property Tax Obligations</t>
    </r>
    <r>
      <rPr>
        <vertAlign val="superscript"/>
        <sz val="10"/>
        <rFont val="Arial"/>
        <family val="2"/>
      </rPr>
      <t>2</t>
    </r>
  </si>
  <si>
    <t>Within</t>
  </si>
  <si>
    <t>Outside</t>
  </si>
  <si>
    <t>Municipalities</t>
  </si>
  <si>
    <t xml:space="preserve">  Percent of Total Residential</t>
  </si>
  <si>
    <t xml:space="preserve">  Percent of Total Nonresidential</t>
  </si>
  <si>
    <t>Information source: compiled from NM Department of Finance and Administration rate certificate files.</t>
  </si>
  <si>
    <t>Information source: compiled from New Mexico Department of Finance and Administration rate certificate files.</t>
  </si>
  <si>
    <t>Percent Residential</t>
  </si>
  <si>
    <t>Percent Nonresidential</t>
  </si>
  <si>
    <r>
      <t>$1,000 in net taxable value.</t>
    </r>
    <r>
      <rPr>
        <vertAlign val="superscript"/>
        <sz val="10"/>
        <rFont val="Arial"/>
        <family val="2"/>
      </rPr>
      <t xml:space="preserve"> 2</t>
    </r>
    <r>
      <rPr>
        <sz val="10"/>
        <rFont val="Arial"/>
        <family val="2"/>
      </rPr>
      <t>Total obligations/total net taxable value or rate in each jurisdiction</t>
    </r>
  </si>
  <si>
    <t xml:space="preserve">       Total</t>
  </si>
  <si>
    <t xml:space="preserve">Residential  </t>
  </si>
  <si>
    <t xml:space="preserve">    Subtotal</t>
  </si>
  <si>
    <t xml:space="preserve">Subtotal  </t>
  </si>
  <si>
    <t>Property Classification</t>
  </si>
  <si>
    <t>Information source: compiled from DFA rate certificate files.</t>
  </si>
  <si>
    <t xml:space="preserve">Residential   </t>
  </si>
  <si>
    <t xml:space="preserve">Operating </t>
  </si>
  <si>
    <t xml:space="preserve">Imposed  </t>
  </si>
  <si>
    <t>Total Rate Imposition Capacity</t>
  </si>
  <si>
    <t xml:space="preserve"> x 33 =</t>
  </si>
  <si>
    <t>Total Imposed by all counties</t>
  </si>
  <si>
    <t>of operating rate authority is currently being used…</t>
  </si>
  <si>
    <r>
      <t>1</t>
    </r>
    <r>
      <rPr>
        <sz val="10"/>
        <rFont val="Arial"/>
        <family val="2"/>
      </rPr>
      <t>11.85 mill maximum allowed by law less the imposed rate.</t>
    </r>
  </si>
  <si>
    <t>28-RU</t>
  </si>
  <si>
    <t>16 Out R</t>
  </si>
  <si>
    <t xml:space="preserve">  &amp; Equipment</t>
  </si>
  <si>
    <t xml:space="preserve">New Mexico County Operating Rates --  Imposed and </t>
  </si>
  <si>
    <t>State Obligations</t>
  </si>
  <si>
    <t xml:space="preserve">  Debt Service</t>
  </si>
  <si>
    <t xml:space="preserve">  Other</t>
  </si>
  <si>
    <t xml:space="preserve">  Capital Improvement</t>
  </si>
  <si>
    <t xml:space="preserve">  School Building (HB-33)</t>
  </si>
  <si>
    <t>Percent Funding Debt Service</t>
  </si>
  <si>
    <t xml:space="preserve">  Operations</t>
  </si>
  <si>
    <t xml:space="preserve">   </t>
  </si>
  <si>
    <t xml:space="preserve">Non-     </t>
  </si>
  <si>
    <t>County Obligations -- Percent Funding:</t>
  </si>
  <si>
    <t>School District Obligations -- Percent Funding:</t>
  </si>
  <si>
    <t>Municipal Obligations -- Percent Funding:</t>
  </si>
  <si>
    <t xml:space="preserve">  Ad Valorem*</t>
  </si>
  <si>
    <t>*Blank values should be considered zero.</t>
  </si>
  <si>
    <t>Collection</t>
  </si>
  <si>
    <t>Rate*</t>
  </si>
  <si>
    <t xml:space="preserve"> Average</t>
  </si>
  <si>
    <t>Information source: DFA rate certificate files.</t>
  </si>
  <si>
    <t>Property Tax Collection Rate by</t>
  </si>
  <si>
    <t>Table 1</t>
  </si>
  <si>
    <t>Table 2</t>
  </si>
  <si>
    <t>Table 5: Distribution of Net Taxable Value In and Outside of Municipalities</t>
  </si>
  <si>
    <r>
      <t xml:space="preserve">      Rate</t>
    </r>
    <r>
      <rPr>
        <vertAlign val="superscript"/>
        <sz val="10"/>
        <rFont val="Arial"/>
        <family val="2"/>
      </rPr>
      <t xml:space="preserve">          </t>
    </r>
  </si>
  <si>
    <t>Add</t>
  </si>
  <si>
    <t>Per Capita Property Tax Obligations by New Mexico County, 2009 Tax Year</t>
  </si>
  <si>
    <t>Annual Property Tax Obligations ($)</t>
  </si>
  <si>
    <t>Total/Average</t>
  </si>
  <si>
    <t xml:space="preserve">Source: New Mexico Department and Finance and Administration rate certificate files -- all data </t>
  </si>
  <si>
    <t>except population estimates.</t>
  </si>
  <si>
    <t>New Mexico's Bureau of Business and Economic Research: http://bber.unm.edu/demo/copopest.htm.</t>
  </si>
  <si>
    <t>20081</t>
  </si>
  <si>
    <t xml:space="preserve">1Source: New Mexico County Populations from the Census Bureau, published by the University of  </t>
  </si>
  <si>
    <r>
      <t>2</t>
    </r>
    <r>
      <rPr>
        <sz val="10"/>
        <rFont val="Arial"/>
        <family val="2"/>
      </rPr>
      <t xml:space="preserve">Source: New Mexico Department and Finance and Administration rate certificate files -- all data </t>
    </r>
  </si>
  <si>
    <r>
      <t xml:space="preserve">  Ad Valorem:</t>
    </r>
    <r>
      <rPr>
        <vertAlign val="superscript"/>
        <sz val="10"/>
        <rFont val="Arial"/>
        <family val="2"/>
      </rPr>
      <t>3</t>
    </r>
  </si>
  <si>
    <t xml:space="preserve">Percent of County Total </t>
  </si>
  <si>
    <t xml:space="preserve">  Average</t>
  </si>
  <si>
    <t>Source: NM Department of Finance and Administration property tax rate certificate files.</t>
  </si>
  <si>
    <t xml:space="preserve"> Production</t>
  </si>
  <si>
    <r>
      <t>Edgewood</t>
    </r>
    <r>
      <rPr>
        <vertAlign val="superscript"/>
        <sz val="10"/>
        <rFont val="Arial"/>
        <family val="2"/>
      </rPr>
      <t>1</t>
    </r>
  </si>
  <si>
    <r>
      <t>Los Ranchos</t>
    </r>
    <r>
      <rPr>
        <vertAlign val="superscript"/>
        <sz val="10"/>
        <rFont val="Arial"/>
        <family val="2"/>
      </rPr>
      <t>1</t>
    </r>
  </si>
  <si>
    <r>
      <t>Hurley</t>
    </r>
    <r>
      <rPr>
        <vertAlign val="superscript"/>
        <sz val="10"/>
        <rFont val="Arial"/>
        <family val="2"/>
      </rPr>
      <t>2</t>
    </r>
  </si>
  <si>
    <t xml:space="preserve">Information Source: New Mexico Department of Finance and Administration rate certificate files. </t>
  </si>
  <si>
    <t>Table 7: Approximate Property Tax Obligations as a Percent of</t>
  </si>
  <si>
    <t xml:space="preserve">residential    </t>
  </si>
  <si>
    <t>Percent of Statewide Total and Rank</t>
  </si>
  <si>
    <t>Population</t>
  </si>
  <si>
    <t>State Total</t>
  </si>
  <si>
    <t>Figure 2: County Population Estimates: Rank and Percent of State Total</t>
  </si>
  <si>
    <t>Maximum</t>
  </si>
  <si>
    <r>
      <t>1</t>
    </r>
    <r>
      <rPr>
        <sz val="10"/>
        <rFont val="Arial"/>
        <family val="2"/>
      </rPr>
      <t>The i</t>
    </r>
    <r>
      <rPr>
        <sz val="10"/>
        <rFont val="Arial"/>
        <family val="2"/>
      </rPr>
      <t>mposed rate less the 7.65 mill maximum rate allowed by New Mexico statutes.</t>
    </r>
  </si>
  <si>
    <t>hence the display table should be corrected to reflect my value</t>
  </si>
  <si>
    <t xml:space="preserve">    Percent</t>
  </si>
  <si>
    <t>Information source: compiled from rate certificate files issued by the NM Department of Finance and Administration.</t>
  </si>
  <si>
    <t xml:space="preserve">  Education Technology</t>
  </si>
  <si>
    <t>should be the difference between the two figures</t>
  </si>
  <si>
    <r>
      <t xml:space="preserve">Information source: calculated from DFA rate certificate files.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Expressed in mills or $ per </t>
    </r>
  </si>
  <si>
    <t>Information source: calculated from DFA rate certificate files</t>
  </si>
  <si>
    <t xml:space="preserve">  From  previous row</t>
  </si>
  <si>
    <t>Information source: calculated from rate certificate files issued by the New Mexico Department of Finance and Administration.</t>
  </si>
  <si>
    <r>
      <t xml:space="preserve"> 3</t>
    </r>
    <r>
      <rPr>
        <sz val="10"/>
        <rFont val="Arial"/>
        <family val="2"/>
      </rPr>
      <t>Zero figures in the ad valorem columns indicate amounts less than $1.</t>
    </r>
  </si>
  <si>
    <t>&amp; Equipmment</t>
  </si>
  <si>
    <t>Hospital Operating</t>
  </si>
  <si>
    <t>Hospital Debt Service</t>
  </si>
  <si>
    <t>Higher Education Operating</t>
  </si>
  <si>
    <t>Higher Education Debt Service</t>
  </si>
  <si>
    <t>Total Higher Education</t>
  </si>
  <si>
    <t>Total Hospitals</t>
  </si>
  <si>
    <t>Information source: compiled from New Mexico Department of Finance and Administration rate certificate files. Notes: 1) Sums do not necessarily equal totals due to rounding.</t>
  </si>
  <si>
    <t>Higher Education Obligations -- Percent Funding:</t>
  </si>
  <si>
    <t xml:space="preserve">  Operations:</t>
  </si>
  <si>
    <t>Hospital Obligations -- Percent Funding:</t>
  </si>
  <si>
    <t>Table 4: Percentage Distribution -- Uses of Property Tax Obligations by Major</t>
  </si>
  <si>
    <t>Department of Finance and Administration</t>
  </si>
  <si>
    <t xml:space="preserve">Department of Finance and Administration </t>
  </si>
  <si>
    <t xml:space="preserve">   Mean</t>
  </si>
  <si>
    <t xml:space="preserve">   Median</t>
  </si>
  <si>
    <t>Anthony</t>
  </si>
  <si>
    <t>18in</t>
  </si>
  <si>
    <t>Los Ranchos*</t>
  </si>
  <si>
    <t xml:space="preserve">   Average (unweighted)</t>
  </si>
  <si>
    <t>Table 9</t>
  </si>
  <si>
    <t>Table 17</t>
  </si>
  <si>
    <t xml:space="preserve">Equipment </t>
  </si>
  <si>
    <t xml:space="preserve">Production </t>
  </si>
  <si>
    <t>0 - 1 million</t>
  </si>
  <si>
    <t>1+ - 10 million</t>
  </si>
  <si>
    <t>11+ - 100 mill</t>
  </si>
  <si>
    <t>100+ mill - 1 bill</t>
  </si>
  <si>
    <t>100+ mill - 1 bill+</t>
  </si>
  <si>
    <t xml:space="preserve">subtotal </t>
  </si>
  <si>
    <t>SubTotal</t>
  </si>
  <si>
    <t>Total Communties</t>
  </si>
  <si>
    <t>Muni Debt</t>
  </si>
  <si>
    <t xml:space="preserve">2013 Property Tax </t>
  </si>
  <si>
    <t>Rio Communities</t>
  </si>
  <si>
    <t>1RC IN</t>
  </si>
  <si>
    <t xml:space="preserve">Rank </t>
  </si>
  <si>
    <t xml:space="preserve">State Total </t>
  </si>
  <si>
    <t xml:space="preserve">Source: State of New Mexico, TRD Information Technology Division </t>
  </si>
  <si>
    <t>All Rates Imposed</t>
  </si>
  <si>
    <t>All Possible Rates if all 7.65 mill are imposed</t>
  </si>
  <si>
    <t>Percent of all Rates imposed</t>
  </si>
  <si>
    <t>TOTAL</t>
  </si>
  <si>
    <r>
      <t>Figure 1:  County Population Estimates*</t>
    </r>
    <r>
      <rPr>
        <b/>
        <sz val="10"/>
        <rFont val="Arial"/>
        <family val="2"/>
      </rPr>
      <t>:  Rank and Percent of State Total</t>
    </r>
  </si>
  <si>
    <t>Figure 2: Rate Location Map</t>
  </si>
  <si>
    <r>
      <t>1</t>
    </r>
    <r>
      <rPr>
        <sz val="12"/>
        <rFont val="Arial"/>
        <family val="2"/>
      </rPr>
      <t>Obligations are the product of rates and net taxable value, or revenues assuming 100% collection. These are total property tax obligations of property tax owners within the county for all property tax recipients -- school districts, municipalities, counties and other jurisdictions within the county.</t>
    </r>
  </si>
  <si>
    <t>Note: The Percentages listed on Table 4 were calculated from corresponding amounts in Table 3.</t>
  </si>
  <si>
    <t xml:space="preserve">weighted by net taxable value in the jurisdiction. </t>
  </si>
  <si>
    <r>
      <t>1</t>
    </r>
    <r>
      <rPr>
        <sz val="10"/>
        <rFont val="Arial"/>
        <family val="2"/>
      </rPr>
      <t xml:space="preserve">Obligations divided by net taxable value multiplied by 3; does not account for property tax </t>
    </r>
  </si>
  <si>
    <t>exemptions because data on them is not currently available.</t>
  </si>
  <si>
    <t>and equipment taxes average close to 100%.</t>
  </si>
  <si>
    <t>Rio Communites</t>
  </si>
  <si>
    <t xml:space="preserve"> NOTE FOR 2014 DO NOT UPDATE HERE - INSTEAD USE OFFICIAL DOC FROM TAX AND REV</t>
  </si>
  <si>
    <r>
      <t>Property Tax Obligations</t>
    </r>
    <r>
      <rPr>
        <b/>
        <vertAlign val="superscript"/>
        <sz val="16"/>
        <rFont val="Arial"/>
        <family val="2"/>
      </rPr>
      <t xml:space="preserve">1 </t>
    </r>
    <r>
      <rPr>
        <b/>
        <sz val="16"/>
        <rFont val="Arial"/>
        <family val="2"/>
      </rPr>
      <t>by New Mexico County</t>
    </r>
  </si>
  <si>
    <t>Net Taxable Value for Property Tax Purposes by New Mexico County</t>
  </si>
  <si>
    <t>Table 3: Distribution of New Mexico Property Tax Obligations by Recipient</t>
  </si>
  <si>
    <t>Recipients</t>
  </si>
  <si>
    <t>Conservancy Districts*</t>
  </si>
  <si>
    <t>*Some conservancy district obligations are not included above because their rates apply to other measurements (e.g., water consumed) rather than net taxable value.</t>
  </si>
  <si>
    <t>Totals</t>
  </si>
  <si>
    <t>For Chart:</t>
  </si>
  <si>
    <r>
      <t>Table 6: Weighted Average Property Tax Rates by County in Mills</t>
    </r>
    <r>
      <rPr>
        <b/>
        <vertAlign val="superscript"/>
        <sz val="12"/>
        <rFont val="Arial"/>
        <family val="2"/>
      </rPr>
      <t>1,2</t>
    </r>
  </si>
  <si>
    <r>
      <t>Assessed Value by County</t>
    </r>
    <r>
      <rPr>
        <b/>
        <vertAlign val="superscript"/>
        <sz val="12"/>
        <rFont val="Arial"/>
        <family val="2"/>
      </rPr>
      <t>1</t>
    </r>
  </si>
  <si>
    <t>out of 33 or</t>
  </si>
  <si>
    <t>of counties have no remaining authority.</t>
  </si>
  <si>
    <t>Average remaining authority</t>
  </si>
  <si>
    <t>Property Tax Facts</t>
  </si>
  <si>
    <t>Per Capita Property Tax Obligations by New Mexico County</t>
  </si>
  <si>
    <t>*3-year average collection rate as reported by County Treasurers.</t>
  </si>
  <si>
    <t>Applicable to traditional residential and non-residential</t>
  </si>
  <si>
    <t xml:space="preserve">properties.  Collection rates on ad valorem production </t>
  </si>
  <si>
    <t>Table 11: Net Taxable Value by New Mexico County</t>
  </si>
  <si>
    <t>Residential Taxes / 4 largest counties</t>
  </si>
  <si>
    <t>Table 12: Property Tax Obligations by New Mexico County</t>
  </si>
  <si>
    <t>Table 13: Net Taxable Value by New Mexico County</t>
  </si>
  <si>
    <t>Table 14: Property Tax Obligations by New Mexico County</t>
  </si>
  <si>
    <t>Table 15: Obligations for County Operating Purposes, by County</t>
  </si>
  <si>
    <t>Table 16: Obligations for County Debt Service Purposes, by County</t>
  </si>
  <si>
    <t>Property Tax Rates by Location</t>
  </si>
  <si>
    <t>Min Rates:</t>
  </si>
  <si>
    <t>Res</t>
  </si>
  <si>
    <t>Non-Res:</t>
  </si>
  <si>
    <t>Property Tax Rates by Location (Continued)</t>
  </si>
  <si>
    <t>Municipal Operating Rates Imposed and Remaining Authority</t>
  </si>
  <si>
    <t>*The municipality did not impose an operating rate for this tax year.</t>
  </si>
  <si>
    <t>Remaining Authority in Mills</t>
  </si>
  <si>
    <t>Net Taxable Value by Municipality</t>
  </si>
  <si>
    <t>Count:</t>
  </si>
  <si>
    <t>Net Taxable Value by Municipality (Continued)</t>
  </si>
  <si>
    <t>Net Taxable Value</t>
  </si>
  <si>
    <t>Muni Net Taxable Value</t>
  </si>
  <si>
    <t xml:space="preserve">As % of total Taxable Value </t>
  </si>
  <si>
    <t>Obligations for Municipal Operating Purposes by Municipality</t>
  </si>
  <si>
    <r>
      <t>*</t>
    </r>
    <r>
      <rPr>
        <sz val="10"/>
        <rFont val="Arial"/>
        <family val="2"/>
      </rPr>
      <t>Municipality is not imposing an operating rate for this tax year.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>The extreme difference between residential and nonresidential obligations in Hurley results from very small nonresidential tax rates and net taxable value relative to residential rates and values.</t>
    </r>
  </si>
  <si>
    <t>Obligations for Municipal Operating Purposes by Municipality (Continued)</t>
  </si>
  <si>
    <r>
      <t>*</t>
    </r>
    <r>
      <rPr>
        <sz val="10"/>
        <rFont val="Arial"/>
        <family val="2"/>
      </rPr>
      <t>Municipality is not imposing an operating rate for this tax year.</t>
    </r>
  </si>
  <si>
    <t>Table 22: Obligations for Municipal Debt Service Purposes</t>
  </si>
  <si>
    <t>Total Obligations</t>
  </si>
  <si>
    <t xml:space="preserve">  Percent of Total</t>
  </si>
  <si>
    <t>Per Capita Basis:</t>
  </si>
  <si>
    <t>Co &amp; Muni Oper %</t>
  </si>
  <si>
    <t>Total Debt %</t>
  </si>
  <si>
    <t>Note: without Corrales 2A In &amp; Rio Rancho R1-A (both in  Bernalillo County)</t>
  </si>
  <si>
    <t>Kirtland</t>
  </si>
  <si>
    <t>22 IN</t>
  </si>
  <si>
    <t>1-BF IN</t>
  </si>
  <si>
    <t>New Mexico's 106 Municipalities: Their Associated Counties</t>
  </si>
  <si>
    <t>Kirtland*</t>
  </si>
  <si>
    <t>AFTER COMPLETING "Table 20 Part 2":</t>
  </si>
  <si>
    <t>Note: Only Grant County has Copper Production (reported as Ad Valorem production)</t>
  </si>
  <si>
    <t>Population / 4 largest counties</t>
  </si>
  <si>
    <t>Total without Los Alamos:</t>
  </si>
  <si>
    <t>Note:  This table contains formulas in each cell derived from this workbook.  There is no Table #4 in the Property Tax Workbook. Do Not Override.</t>
  </si>
  <si>
    <t>(A)</t>
  </si>
  <si>
    <t>(B)</t>
  </si>
  <si>
    <t>(B) / (A)</t>
  </si>
  <si>
    <t>Ratio of Residential to Total Debt</t>
  </si>
  <si>
    <t>(unincorporated)</t>
  </si>
  <si>
    <t>8T-A IN</t>
  </si>
  <si>
    <r>
      <t>2</t>
    </r>
    <r>
      <rPr>
        <sz val="10"/>
        <rFont val="Arial"/>
        <family val="2"/>
      </rPr>
      <t>A portion of Espanola containing roughly 25% of its net taxable value is in Santa Fe County.</t>
    </r>
  </si>
  <si>
    <r>
      <t>3</t>
    </r>
    <r>
      <rPr>
        <sz val="10"/>
        <rFont val="Arial"/>
        <family val="2"/>
      </rPr>
      <t>A small portion -- less than 1% of Rio Rancho's net taxable value -- is in Bernalillo County.</t>
    </r>
  </si>
  <si>
    <t>***remove any duplicates found in other columns or if a row is blank copy formula from nearest cell that contains a formula for the applicable column***</t>
  </si>
  <si>
    <t xml:space="preserve">% of Muni Debt Obliations To Total Obligations </t>
  </si>
  <si>
    <t>except population.</t>
  </si>
  <si>
    <t>Production*</t>
  </si>
  <si>
    <t>*Negative ad valorem production value is a result of taxpayer amended report.</t>
  </si>
  <si>
    <t xml:space="preserve">2. Copy Column AB &amp; AC to AE &amp; AF and paste as values </t>
  </si>
  <si>
    <t xml:space="preserve">3. Sort AE &amp; AF by largest to smallest based on values in column AF. </t>
  </si>
  <si>
    <r>
      <t>1</t>
    </r>
    <r>
      <rPr>
        <sz val="10"/>
        <rFont val="Arial"/>
        <family val="2"/>
      </rPr>
      <t>Portions of Edgewood are in Bernalillo &amp; Sandoval Counties (1.1% Town's net taxable value).</t>
    </r>
  </si>
  <si>
    <t>2022 Tax Year</t>
  </si>
  <si>
    <r>
      <t>1. Copy "total" from Column D from both "Table 20 part 1" and "Table 20 part 2" for each municipality and</t>
    </r>
    <r>
      <rPr>
        <b/>
        <sz val="10"/>
        <color rgb="FFFF0000"/>
        <rFont val="Arial"/>
        <family val="2"/>
      </rPr>
      <t xml:space="preserve"> paste as values</t>
    </r>
    <r>
      <rPr>
        <sz val="10"/>
        <color rgb="FFFF0000"/>
        <rFont val="Arial"/>
        <family val="2"/>
      </rPr>
      <t>.</t>
    </r>
  </si>
  <si>
    <t>Note:  This table contains formulas in each cell derived from this workbook. **Do Not Override**.</t>
  </si>
  <si>
    <r>
      <t>2022</t>
    </r>
    <r>
      <rPr>
        <vertAlign val="superscript"/>
        <sz val="10"/>
        <color rgb="FF0000CC"/>
        <rFont val="Arial"/>
        <family val="2"/>
      </rPr>
      <t>1</t>
    </r>
  </si>
  <si>
    <t>https://www.census.gov/data/tables/time-series/demo/popest/2020s-counties-total.html</t>
  </si>
  <si>
    <r>
      <t>1</t>
    </r>
    <r>
      <rPr>
        <sz val="10"/>
        <rFont val="Arial"/>
        <family val="2"/>
      </rPr>
      <t xml:space="preserve">Source: New Mexico Population Estimates for Counties from US Census Bureau as of </t>
    </r>
    <r>
      <rPr>
        <sz val="10"/>
        <color rgb="FF0000CC"/>
        <rFont val="Arial"/>
        <family val="2"/>
      </rPr>
      <t>July 1, 2022</t>
    </r>
  </si>
  <si>
    <t>Note: All tables on this page contain formulas in each cell derived from this workbook. **Do Not Override**.</t>
  </si>
  <si>
    <t>Update estimated population amounts (blue font) using data from link in Cell B45. Also update year in Cells C9 and B44 (blue font).</t>
  </si>
  <si>
    <t>Update collection rates from the "County Treasurers 3 Yr Ave Collection Report" spreadsheet compiled for the tax year being published.</t>
  </si>
  <si>
    <t>(NOTE: These 3 counties are sorted differently on the treasurers report: Sandoval, San Juan, and San Miguel, so use caution when copying data.)</t>
  </si>
  <si>
    <t>Truth or Consequences</t>
  </si>
  <si>
    <t>28 RU IN</t>
  </si>
  <si>
    <t>Corrales (annexation)</t>
  </si>
  <si>
    <t>55 IN</t>
  </si>
  <si>
    <t>55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</si>
</sst>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#,##0.0_);\(#,##0.0\)"/>
    <numFmt numFmtId="166" formatCode="\$#,##0.0"/>
    <numFmt numFmtId="167" formatCode="0.000"/>
    <numFmt numFmtId="168" formatCode="\$#,##0_);&quot;($&quot;#,##0\)"/>
    <numFmt numFmtId="169" formatCode="_(* #,##0_);_(* \(#,##0\);_(* \-??_);_(@_)"/>
    <numFmt numFmtId="170" formatCode="#,##0.0"/>
    <numFmt numFmtId="171" formatCode="&quot;$&quot;#,##0"/>
    <numFmt numFmtId="172" formatCode="#,##0.000"/>
    <numFmt numFmtId="173" formatCode="#,##0.000_);\(#,##0.000\)"/>
    <numFmt numFmtId="174" formatCode="_(* #,##0_);_(* \(#,##0\);_(* &quot;-&quot;??_);_(@_)"/>
    <numFmt numFmtId="175" formatCode="0.0"/>
    <numFmt numFmtId="176" formatCode="0.0%"/>
    <numFmt numFmtId="177" formatCode="#,##0.0000"/>
    <numFmt numFmtId="178" formatCode="_(* #,##0.0000_);_(* \(#,##0.0000\);_(* &quot;-&quot;??_);_(@_)"/>
    <numFmt numFmtId="179" formatCode="\$#,##0.00000"/>
    <numFmt numFmtId="180" formatCode="&quot;$&quot;#,##0.00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vertAlign val="superscript"/>
      <sz val="16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  <font>
      <sz val="4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4.5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rgb="FF0000CC"/>
      <name val="Arial"/>
      <family val="2"/>
    </font>
    <font>
      <vertAlign val="superscript"/>
      <sz val="10"/>
      <color rgb="FF0000CC"/>
      <name val="Arial"/>
      <family val="2"/>
    </font>
    <font>
      <b/>
      <sz val="16"/>
      <color rgb="FF0000CC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vertAlign val="superscript"/>
      <sz val="14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3F3F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26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8" fillId="53" borderId="0" applyNumberFormat="0" applyBorder="0" applyAlignment="0" applyProtection="0"/>
    <xf numFmtId="0" fontId="49" fillId="54" borderId="29" applyNumberFormat="0" applyAlignment="0" applyProtection="0"/>
    <xf numFmtId="0" fontId="50" fillId="55" borderId="30" applyNumberFormat="0" applyAlignment="0" applyProtection="0"/>
    <xf numFmtId="0" fontId="51" fillId="0" borderId="0" applyNumberFormat="0" applyFill="0" applyBorder="0" applyAlignment="0" applyProtection="0"/>
    <xf numFmtId="0" fontId="52" fillId="56" borderId="0" applyNumberFormat="0" applyBorder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5" fillId="0" borderId="33" applyNumberFormat="0" applyFill="0" applyAlignment="0" applyProtection="0"/>
    <xf numFmtId="0" fontId="55" fillId="0" borderId="0" applyNumberFormat="0" applyFill="0" applyBorder="0" applyAlignment="0" applyProtection="0"/>
    <xf numFmtId="0" fontId="56" fillId="57" borderId="29" applyNumberFormat="0" applyAlignment="0" applyProtection="0"/>
    <xf numFmtId="0" fontId="57" fillId="0" borderId="34" applyNumberFormat="0" applyFill="0" applyAlignment="0" applyProtection="0"/>
    <xf numFmtId="0" fontId="58" fillId="58" borderId="0" applyNumberFormat="0" applyBorder="0" applyAlignment="0" applyProtection="0"/>
    <xf numFmtId="0" fontId="1" fillId="59" borderId="35" applyNumberFormat="0" applyFont="0" applyAlignment="0" applyProtection="0"/>
    <xf numFmtId="0" fontId="59" fillId="54" borderId="36" applyNumberFormat="0" applyAlignment="0" applyProtection="0"/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0" fontId="62" fillId="0" borderId="0" applyNumberFormat="0" applyFill="0" applyBorder="0" applyAlignment="0" applyProtection="0"/>
    <xf numFmtId="9" fontId="65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</cellStyleXfs>
  <cellXfs count="61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24" borderId="0" xfId="0" applyFont="1" applyFill="1"/>
    <xf numFmtId="166" fontId="7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4" borderId="0" xfId="0" applyFont="1" applyFill="1"/>
    <xf numFmtId="37" fontId="4" fillId="0" borderId="0" xfId="0" applyNumberFormat="1" applyFont="1"/>
    <xf numFmtId="3" fontId="6" fillId="0" borderId="0" xfId="0" applyNumberFormat="1" applyFont="1"/>
    <xf numFmtId="167" fontId="9" fillId="0" borderId="0" xfId="0" applyNumberFormat="1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4" fillId="0" borderId="0" xfId="0" applyNumberFormat="1" applyFont="1"/>
    <xf numFmtId="37" fontId="6" fillId="0" borderId="0" xfId="0" applyNumberFormat="1" applyFo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8" fillId="0" borderId="0" xfId="0" applyFont="1"/>
    <xf numFmtId="49" fontId="6" fillId="0" borderId="11" xfId="0" applyNumberFormat="1" applyFont="1" applyBorder="1" applyAlignment="1">
      <alignment horizontal="center"/>
    </xf>
    <xf numFmtId="168" fontId="6" fillId="0" borderId="13" xfId="0" applyNumberFormat="1" applyFont="1" applyBorder="1" applyAlignment="1">
      <alignment horizontal="center"/>
    </xf>
    <xf numFmtId="169" fontId="6" fillId="0" borderId="0" xfId="28" applyNumberFormat="1" applyFont="1" applyFill="1" applyBorder="1" applyAlignment="1" applyProtection="1">
      <alignment horizontal="right"/>
    </xf>
    <xf numFmtId="164" fontId="6" fillId="0" borderId="14" xfId="28" applyNumberFormat="1" applyFont="1" applyFill="1" applyBorder="1" applyAlignment="1" applyProtection="1"/>
    <xf numFmtId="164" fontId="6" fillId="0" borderId="0" xfId="28" applyNumberFormat="1" applyFont="1" applyFill="1" applyBorder="1" applyAlignment="1" applyProtection="1"/>
    <xf numFmtId="169" fontId="6" fillId="24" borderId="0" xfId="28" applyNumberFormat="1" applyFont="1" applyFill="1" applyBorder="1" applyAlignment="1" applyProtection="1"/>
    <xf numFmtId="164" fontId="6" fillId="24" borderId="14" xfId="28" applyNumberFormat="1" applyFont="1" applyFill="1" applyBorder="1" applyAlignment="1" applyProtection="1"/>
    <xf numFmtId="164" fontId="6" fillId="24" borderId="0" xfId="28" applyNumberFormat="1" applyFont="1" applyFill="1" applyBorder="1" applyAlignment="1" applyProtection="1"/>
    <xf numFmtId="169" fontId="6" fillId="0" borderId="0" xfId="28" applyNumberFormat="1" applyFont="1" applyFill="1" applyBorder="1" applyAlignment="1" applyProtection="1"/>
    <xf numFmtId="164" fontId="6" fillId="0" borderId="10" xfId="28" applyNumberFormat="1" applyFont="1" applyFill="1" applyBorder="1" applyAlignment="1" applyProtection="1"/>
    <xf numFmtId="3" fontId="6" fillId="0" borderId="11" xfId="0" applyNumberFormat="1" applyFont="1" applyBorder="1" applyAlignment="1">
      <alignment horizontal="right"/>
    </xf>
    <xf numFmtId="164" fontId="6" fillId="0" borderId="12" xfId="28" applyNumberFormat="1" applyFont="1" applyFill="1" applyBorder="1" applyAlignment="1" applyProtection="1"/>
    <xf numFmtId="164" fontId="6" fillId="0" borderId="11" xfId="28" applyNumberFormat="1" applyFont="1" applyFill="1" applyBorder="1" applyAlignment="1" applyProtection="1"/>
    <xf numFmtId="0" fontId="6" fillId="0" borderId="10" xfId="0" applyFont="1" applyBorder="1" applyAlignment="1">
      <alignment horizontal="left"/>
    </xf>
    <xf numFmtId="164" fontId="6" fillId="24" borderId="10" xfId="28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11" xfId="0" applyBorder="1"/>
    <xf numFmtId="171" fontId="0" fillId="0" borderId="0" xfId="0" applyNumberFormat="1"/>
    <xf numFmtId="0" fontId="0" fillId="0" borderId="15" xfId="0" applyBorder="1"/>
    <xf numFmtId="0" fontId="0" fillId="0" borderId="0" xfId="0" applyAlignment="1">
      <alignment horizontal="left"/>
    </xf>
    <xf numFmtId="0" fontId="6" fillId="0" borderId="15" xfId="0" applyFont="1" applyBorder="1"/>
    <xf numFmtId="0" fontId="0" fillId="24" borderId="0" xfId="0" applyFill="1"/>
    <xf numFmtId="171" fontId="0" fillId="24" borderId="0" xfId="0" applyNumberFormat="1" applyFill="1"/>
    <xf numFmtId="0" fontId="0" fillId="24" borderId="0" xfId="0" applyFill="1" applyAlignment="1">
      <alignment horizontal="left"/>
    </xf>
    <xf numFmtId="172" fontId="6" fillId="24" borderId="0" xfId="0" applyNumberFormat="1" applyFont="1" applyFill="1"/>
    <xf numFmtId="172" fontId="6" fillId="0" borderId="0" xfId="0" applyNumberFormat="1" applyFont="1"/>
    <xf numFmtId="0" fontId="0" fillId="24" borderId="0" xfId="0" quotePrefix="1" applyFill="1" applyAlignment="1">
      <alignment horizontal="left"/>
    </xf>
    <xf numFmtId="0" fontId="0" fillId="24" borderId="15" xfId="0" applyFill="1" applyBorder="1"/>
    <xf numFmtId="167" fontId="0" fillId="24" borderId="15" xfId="0" applyNumberFormat="1" applyFill="1" applyBorder="1"/>
    <xf numFmtId="167" fontId="0" fillId="0" borderId="15" xfId="0" applyNumberFormat="1" applyBorder="1"/>
    <xf numFmtId="0" fontId="6" fillId="0" borderId="0" xfId="0" applyFont="1" applyAlignment="1">
      <alignment horizontal="left"/>
    </xf>
    <xf numFmtId="171" fontId="0" fillId="24" borderId="16" xfId="0" applyNumberFormat="1" applyFill="1" applyBorder="1"/>
    <xf numFmtId="0" fontId="0" fillId="0" borderId="17" xfId="0" applyBorder="1"/>
    <xf numFmtId="0" fontId="0" fillId="0" borderId="11" xfId="0" applyBorder="1" applyAlignment="1">
      <alignment horizontal="left"/>
    </xf>
    <xf numFmtId="172" fontId="6" fillId="24" borderId="10" xfId="0" applyNumberFormat="1" applyFont="1" applyFill="1" applyBorder="1" applyAlignment="1">
      <alignment horizontal="center"/>
    </xf>
    <xf numFmtId="172" fontId="6" fillId="24" borderId="0" xfId="0" applyNumberFormat="1" applyFont="1" applyFill="1" applyAlignment="1">
      <alignment horizontal="center"/>
    </xf>
    <xf numFmtId="0" fontId="10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right"/>
    </xf>
    <xf numFmtId="0" fontId="0" fillId="24" borderId="11" xfId="0" applyFill="1" applyBorder="1"/>
    <xf numFmtId="0" fontId="0" fillId="24" borderId="17" xfId="0" applyFill="1" applyBorder="1"/>
    <xf numFmtId="167" fontId="0" fillId="0" borderId="0" xfId="0" applyNumberFormat="1"/>
    <xf numFmtId="0" fontId="6" fillId="24" borderId="15" xfId="0" applyFont="1" applyFill="1" applyBorder="1"/>
    <xf numFmtId="0" fontId="12" fillId="0" borderId="0" xfId="0" applyFont="1"/>
    <xf numFmtId="37" fontId="6" fillId="0" borderId="0" xfId="0" applyNumberFormat="1" applyFont="1" applyProtection="1">
      <protection locked="0"/>
    </xf>
    <xf numFmtId="37" fontId="6" fillId="24" borderId="11" xfId="0" applyNumberFormat="1" applyFont="1" applyFill="1" applyBorder="1" applyProtection="1">
      <protection locked="0"/>
    </xf>
    <xf numFmtId="0" fontId="31" fillId="0" borderId="0" xfId="0" applyFont="1"/>
    <xf numFmtId="0" fontId="6" fillId="0" borderId="18" xfId="0" applyFont="1" applyBorder="1"/>
    <xf numFmtId="171" fontId="0" fillId="0" borderId="0" xfId="28" applyNumberFormat="1" applyFont="1"/>
    <xf numFmtId="171" fontId="0" fillId="0" borderId="0" xfId="28" applyNumberFormat="1" applyFont="1" applyFill="1"/>
    <xf numFmtId="171" fontId="0" fillId="24" borderId="0" xfId="28" applyNumberFormat="1" applyFont="1" applyFill="1"/>
    <xf numFmtId="0" fontId="6" fillId="0" borderId="10" xfId="0" applyFont="1" applyBorder="1"/>
    <xf numFmtId="0" fontId="12" fillId="0" borderId="0" xfId="0" applyFont="1" applyAlignment="1">
      <alignment horizontal="left"/>
    </xf>
    <xf numFmtId="0" fontId="9" fillId="0" borderId="0" xfId="0" applyFont="1"/>
    <xf numFmtId="0" fontId="9" fillId="24" borderId="0" xfId="0" applyFont="1" applyFill="1"/>
    <xf numFmtId="171" fontId="6" fillId="0" borderId="10" xfId="0" applyNumberFormat="1" applyFont="1" applyBorder="1" applyProtection="1">
      <protection locked="0"/>
    </xf>
    <xf numFmtId="171" fontId="6" fillId="0" borderId="0" xfId="0" applyNumberFormat="1" applyFont="1" applyProtection="1">
      <protection locked="0"/>
    </xf>
    <xf numFmtId="171" fontId="0" fillId="0" borderId="10" xfId="28" applyNumberFormat="1" applyFont="1" applyBorder="1"/>
    <xf numFmtId="171" fontId="6" fillId="24" borderId="10" xfId="0" applyNumberFormat="1" applyFont="1" applyFill="1" applyBorder="1" applyProtection="1">
      <protection locked="0"/>
    </xf>
    <xf numFmtId="171" fontId="6" fillId="24" borderId="0" xfId="0" applyNumberFormat="1" applyFont="1" applyFill="1" applyProtection="1">
      <protection locked="0"/>
    </xf>
    <xf numFmtId="171" fontId="0" fillId="24" borderId="10" xfId="28" applyNumberFormat="1" applyFont="1" applyFill="1" applyBorder="1"/>
    <xf numFmtId="171" fontId="0" fillId="24" borderId="11" xfId="0" applyNumberFormat="1" applyFill="1" applyBorder="1"/>
    <xf numFmtId="171" fontId="6" fillId="24" borderId="12" xfId="0" applyNumberFormat="1" applyFont="1" applyFill="1" applyBorder="1" applyProtection="1">
      <protection locked="0"/>
    </xf>
    <xf numFmtId="171" fontId="6" fillId="24" borderId="11" xfId="0" applyNumberFormat="1" applyFont="1" applyFill="1" applyBorder="1" applyProtection="1">
      <protection locked="0"/>
    </xf>
    <xf numFmtId="167" fontId="0" fillId="0" borderId="0" xfId="0" applyNumberFormat="1" applyAlignment="1">
      <alignment horizontal="center"/>
    </xf>
    <xf numFmtId="167" fontId="0" fillId="24" borderId="0" xfId="0" applyNumberFormat="1" applyFill="1" applyAlignment="1">
      <alignment horizontal="center"/>
    </xf>
    <xf numFmtId="167" fontId="0" fillId="24" borderId="11" xfId="0" applyNumberFormat="1" applyFill="1" applyBorder="1" applyAlignment="1">
      <alignment horizontal="center"/>
    </xf>
    <xf numFmtId="0" fontId="6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0" fillId="24" borderId="11" xfId="0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165" fontId="12" fillId="0" borderId="0" xfId="0" applyNumberFormat="1" applyFont="1"/>
    <xf numFmtId="165" fontId="9" fillId="0" borderId="0" xfId="0" applyNumberFormat="1" applyFont="1"/>
    <xf numFmtId="0" fontId="34" fillId="0" borderId="11" xfId="0" applyFont="1" applyBorder="1"/>
    <xf numFmtId="0" fontId="34" fillId="0" borderId="11" xfId="0" applyFont="1" applyBorder="1" applyAlignment="1">
      <alignment horizontal="center"/>
    </xf>
    <xf numFmtId="0" fontId="4" fillId="0" borderId="10" xfId="0" applyFont="1" applyBorder="1"/>
    <xf numFmtId="168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5" fontId="9" fillId="0" borderId="0" xfId="0" applyNumberFormat="1" applyFont="1"/>
    <xf numFmtId="0" fontId="0" fillId="0" borderId="18" xfId="0" applyBorder="1"/>
    <xf numFmtId="5" fontId="0" fillId="0" borderId="0" xfId="0" applyNumberFormat="1"/>
    <xf numFmtId="5" fontId="34" fillId="0" borderId="0" xfId="0" applyNumberFormat="1" applyFont="1"/>
    <xf numFmtId="0" fontId="0" fillId="0" borderId="16" xfId="0" applyBorder="1" applyAlignment="1">
      <alignment horizontal="center"/>
    </xf>
    <xf numFmtId="171" fontId="0" fillId="24" borderId="19" xfId="0" applyNumberFormat="1" applyFill="1" applyBorder="1"/>
    <xf numFmtId="0" fontId="0" fillId="0" borderId="10" xfId="0" applyBorder="1"/>
    <xf numFmtId="172" fontId="0" fillId="0" borderId="0" xfId="0" applyNumberFormat="1"/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right"/>
    </xf>
    <xf numFmtId="172" fontId="0" fillId="24" borderId="0" xfId="0" applyNumberFormat="1" applyFill="1" applyAlignment="1">
      <alignment horizontal="center"/>
    </xf>
    <xf numFmtId="176" fontId="0" fillId="0" borderId="0" xfId="0" applyNumberFormat="1"/>
    <xf numFmtId="164" fontId="4" fillId="0" borderId="0" xfId="0" applyNumberFormat="1" applyFont="1"/>
    <xf numFmtId="0" fontId="0" fillId="0" borderId="10" xfId="0" applyBorder="1" applyAlignment="1">
      <alignment horizontal="right"/>
    </xf>
    <xf numFmtId="167" fontId="6" fillId="0" borderId="0" xfId="0" applyNumberFormat="1" applyFont="1" applyAlignment="1">
      <alignment horizontal="center"/>
    </xf>
    <xf numFmtId="0" fontId="0" fillId="24" borderId="0" xfId="0" quotePrefix="1" applyFill="1"/>
    <xf numFmtId="0" fontId="0" fillId="24" borderId="11" xfId="0" applyFill="1" applyBorder="1" applyAlignment="1">
      <alignment horizontal="left"/>
    </xf>
    <xf numFmtId="0" fontId="6" fillId="24" borderId="17" xfId="0" applyFont="1" applyFill="1" applyBorder="1"/>
    <xf numFmtId="172" fontId="0" fillId="24" borderId="10" xfId="0" applyNumberFormat="1" applyFill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0" xfId="0" applyNumberFormat="1" applyAlignment="1">
      <alignment horizontal="center"/>
    </xf>
    <xf numFmtId="167" fontId="7" fillId="0" borderId="0" xfId="0" applyNumberFormat="1" applyFont="1" applyAlignment="1">
      <alignment horizontal="center"/>
    </xf>
    <xf numFmtId="172" fontId="7" fillId="0" borderId="10" xfId="0" applyNumberFormat="1" applyFont="1" applyBorder="1" applyAlignment="1">
      <alignment horizontal="center"/>
    </xf>
    <xf numFmtId="172" fontId="7" fillId="0" borderId="0" xfId="0" applyNumberFormat="1" applyFont="1" applyAlignment="1">
      <alignment horizontal="center"/>
    </xf>
    <xf numFmtId="0" fontId="7" fillId="24" borderId="0" xfId="0" applyFont="1" applyFill="1"/>
    <xf numFmtId="167" fontId="7" fillId="24" borderId="0" xfId="0" applyNumberFormat="1" applyFont="1" applyFill="1" applyAlignment="1">
      <alignment horizontal="center"/>
    </xf>
    <xf numFmtId="172" fontId="7" fillId="24" borderId="10" xfId="0" applyNumberFormat="1" applyFont="1" applyFill="1" applyBorder="1" applyAlignment="1">
      <alignment horizontal="center"/>
    </xf>
    <xf numFmtId="172" fontId="7" fillId="24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2" xfId="0" applyBorder="1"/>
    <xf numFmtId="166" fontId="6" fillId="0" borderId="0" xfId="0" applyNumberFormat="1" applyFont="1" applyAlignment="1">
      <alignment horizontal="center"/>
    </xf>
    <xf numFmtId="7" fontId="0" fillId="0" borderId="0" xfId="0" applyNumberFormat="1" applyAlignment="1">
      <alignment horizontal="center"/>
    </xf>
    <xf numFmtId="37" fontId="3" fillId="0" borderId="0" xfId="0" applyNumberFormat="1" applyFont="1"/>
    <xf numFmtId="165" fontId="4" fillId="0" borderId="0" xfId="0" applyNumberFormat="1" applyFont="1"/>
    <xf numFmtId="0" fontId="35" fillId="0" borderId="11" xfId="0" applyFont="1" applyBorder="1"/>
    <xf numFmtId="37" fontId="4" fillId="0" borderId="11" xfId="0" applyNumberFormat="1" applyFont="1" applyBorder="1" applyAlignment="1">
      <alignment horizontal="right"/>
    </xf>
    <xf numFmtId="37" fontId="4" fillId="24" borderId="0" xfId="0" applyNumberFormat="1" applyFont="1" applyFill="1"/>
    <xf numFmtId="165" fontId="4" fillId="24" borderId="0" xfId="0" applyNumberFormat="1" applyFont="1" applyFill="1"/>
    <xf numFmtId="165" fontId="4" fillId="25" borderId="0" xfId="0" applyNumberFormat="1" applyFont="1" applyFill="1"/>
    <xf numFmtId="165" fontId="4" fillId="24" borderId="0" xfId="0" applyNumberFormat="1" applyFont="1" applyFill="1" applyAlignment="1">
      <alignment horizontal="right"/>
    </xf>
    <xf numFmtId="165" fontId="4" fillId="25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71" fontId="3" fillId="0" borderId="0" xfId="0" applyNumberFormat="1" applyFont="1"/>
    <xf numFmtId="165" fontId="3" fillId="0" borderId="10" xfId="0" applyNumberFormat="1" applyFont="1" applyBorder="1"/>
    <xf numFmtId="165" fontId="3" fillId="0" borderId="0" xfId="0" applyNumberFormat="1" applyFont="1"/>
    <xf numFmtId="171" fontId="4" fillId="24" borderId="0" xfId="0" applyNumberFormat="1" applyFont="1" applyFill="1"/>
    <xf numFmtId="165" fontId="4" fillId="24" borderId="10" xfId="0" applyNumberFormat="1" applyFont="1" applyFill="1" applyBorder="1"/>
    <xf numFmtId="171" fontId="4" fillId="0" borderId="0" xfId="0" applyNumberFormat="1" applyFont="1"/>
    <xf numFmtId="165" fontId="4" fillId="0" borderId="10" xfId="0" applyNumberFormat="1" applyFont="1" applyBorder="1"/>
    <xf numFmtId="0" fontId="3" fillId="0" borderId="11" xfId="0" applyFont="1" applyBorder="1"/>
    <xf numFmtId="171" fontId="3" fillId="0" borderId="11" xfId="0" applyNumberFormat="1" applyFont="1" applyBorder="1"/>
    <xf numFmtId="165" fontId="3" fillId="0" borderId="12" xfId="0" applyNumberFormat="1" applyFont="1" applyBorder="1"/>
    <xf numFmtId="165" fontId="3" fillId="0" borderId="11" xfId="0" applyNumberFormat="1" applyFont="1" applyBorder="1"/>
    <xf numFmtId="37" fontId="4" fillId="25" borderId="0" xfId="0" applyNumberFormat="1" applyFont="1" applyFill="1"/>
    <xf numFmtId="0" fontId="0" fillId="0" borderId="20" xfId="0" applyBorder="1"/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174" fontId="0" fillId="0" borderId="0" xfId="28" applyNumberFormat="1" applyFont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167" fontId="0" fillId="0" borderId="10" xfId="0" applyNumberFormat="1" applyBorder="1"/>
    <xf numFmtId="174" fontId="0" fillId="0" borderId="0" xfId="28" applyNumberFormat="1" applyFont="1" applyFill="1"/>
    <xf numFmtId="174" fontId="0" fillId="0" borderId="0" xfId="0" applyNumberFormat="1"/>
    <xf numFmtId="177" fontId="6" fillId="0" borderId="0" xfId="0" applyNumberFormat="1" applyFont="1"/>
    <xf numFmtId="164" fontId="0" fillId="0" borderId="0" xfId="0" applyNumberFormat="1"/>
    <xf numFmtId="178" fontId="0" fillId="0" borderId="0" xfId="0" applyNumberFormat="1"/>
    <xf numFmtId="179" fontId="4" fillId="0" borderId="0" xfId="0" applyNumberFormat="1" applyFont="1"/>
    <xf numFmtId="172" fontId="6" fillId="0" borderId="0" xfId="0" applyNumberFormat="1" applyFont="1" applyAlignment="1">
      <alignment horizontal="center"/>
    </xf>
    <xf numFmtId="172" fontId="6" fillId="0" borderId="10" xfId="0" applyNumberFormat="1" applyFont="1" applyBorder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0" fillId="0" borderId="23" xfId="0" applyBorder="1"/>
    <xf numFmtId="0" fontId="39" fillId="0" borderId="0" xfId="0" applyFont="1"/>
    <xf numFmtId="0" fontId="7" fillId="24" borderId="11" xfId="0" applyFont="1" applyFill="1" applyBorder="1"/>
    <xf numFmtId="167" fontId="7" fillId="24" borderId="11" xfId="0" applyNumberFormat="1" applyFont="1" applyFill="1" applyBorder="1" applyAlignment="1">
      <alignment horizontal="center"/>
    </xf>
    <xf numFmtId="172" fontId="7" fillId="24" borderId="12" xfId="0" applyNumberFormat="1" applyFont="1" applyFill="1" applyBorder="1" applyAlignment="1">
      <alignment horizontal="center"/>
    </xf>
    <xf numFmtId="172" fontId="7" fillId="24" borderId="1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5" fontId="0" fillId="0" borderId="23" xfId="0" applyNumberFormat="1" applyBorder="1" applyAlignment="1">
      <alignment horizontal="center"/>
    </xf>
    <xf numFmtId="174" fontId="6" fillId="0" borderId="0" xfId="28" applyNumberFormat="1" applyFont="1" applyBorder="1" applyAlignment="1">
      <alignment horizontal="right"/>
    </xf>
    <xf numFmtId="171" fontId="0" fillId="0" borderId="10" xfId="28" applyNumberFormat="1" applyFont="1" applyFill="1" applyBorder="1"/>
    <xf numFmtId="174" fontId="0" fillId="0" borderId="0" xfId="28" applyNumberFormat="1" applyFont="1" applyBorder="1"/>
    <xf numFmtId="171" fontId="0" fillId="0" borderId="0" xfId="28" applyNumberFormat="1" applyFont="1" applyBorder="1"/>
    <xf numFmtId="3" fontId="6" fillId="0" borderId="18" xfId="0" applyNumberFormat="1" applyFont="1" applyBorder="1" applyAlignment="1">
      <alignment horizontal="right"/>
    </xf>
    <xf numFmtId="171" fontId="0" fillId="0" borderId="23" xfId="28" applyNumberFormat="1" applyFont="1" applyBorder="1"/>
    <xf numFmtId="171" fontId="0" fillId="0" borderId="18" xfId="28" applyNumberFormat="1" applyFont="1" applyBorder="1"/>
    <xf numFmtId="3" fontId="6" fillId="0" borderId="0" xfId="0" applyNumberFormat="1" applyFont="1" applyAlignment="1">
      <alignment horizontal="right"/>
    </xf>
    <xf numFmtId="0" fontId="6" fillId="0" borderId="21" xfId="0" applyFont="1" applyBorder="1" applyAlignment="1">
      <alignment vertical="center"/>
    </xf>
    <xf numFmtId="0" fontId="0" fillId="0" borderId="10" xfId="0" applyBorder="1" applyAlignment="1">
      <alignment horizontal="left"/>
    </xf>
    <xf numFmtId="37" fontId="10" fillId="0" borderId="0" xfId="0" applyNumberFormat="1" applyFont="1" applyProtection="1">
      <protection locked="0"/>
    </xf>
    <xf numFmtId="171" fontId="0" fillId="0" borderId="0" xfId="28" applyNumberFormat="1" applyFont="1" applyFill="1" applyBorder="1"/>
    <xf numFmtId="0" fontId="6" fillId="0" borderId="25" xfId="0" applyFont="1" applyBorder="1" applyAlignment="1">
      <alignment horizontal="center"/>
    </xf>
    <xf numFmtId="171" fontId="0" fillId="0" borderId="12" xfId="28" applyNumberFormat="1" applyFont="1" applyBorder="1"/>
    <xf numFmtId="171" fontId="0" fillId="24" borderId="0" xfId="28" applyNumberFormat="1" applyFont="1" applyFill="1" applyBorder="1"/>
    <xf numFmtId="0" fontId="6" fillId="0" borderId="25" xfId="0" applyFont="1" applyBorder="1" applyAlignment="1">
      <alignment horizontal="left"/>
    </xf>
    <xf numFmtId="171" fontId="0" fillId="24" borderId="10" xfId="28" applyNumberFormat="1" applyFont="1" applyFill="1" applyBorder="1" applyAlignment="1">
      <alignment horizontal="right"/>
    </xf>
    <xf numFmtId="171" fontId="0" fillId="0" borderId="10" xfId="28" applyNumberFormat="1" applyFont="1" applyBorder="1" applyAlignment="1">
      <alignment horizontal="right"/>
    </xf>
    <xf numFmtId="10" fontId="0" fillId="24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24" borderId="11" xfId="0" applyNumberFormat="1" applyFill="1" applyBorder="1" applyAlignment="1">
      <alignment horizontal="center"/>
    </xf>
    <xf numFmtId="5" fontId="0" fillId="0" borderId="18" xfId="0" applyNumberFormat="1" applyBorder="1" applyAlignment="1">
      <alignment horizontal="right"/>
    </xf>
    <xf numFmtId="170" fontId="0" fillId="0" borderId="0" xfId="0" applyNumberFormat="1"/>
    <xf numFmtId="170" fontId="0" fillId="0" borderId="18" xfId="0" applyNumberFormat="1" applyBorder="1"/>
    <xf numFmtId="0" fontId="0" fillId="0" borderId="23" xfId="0" applyBorder="1" applyAlignment="1">
      <alignment horizontal="right"/>
    </xf>
    <xf numFmtId="170" fontId="0" fillId="0" borderId="10" xfId="0" applyNumberFormat="1" applyBorder="1"/>
    <xf numFmtId="170" fontId="0" fillId="0" borderId="23" xfId="0" applyNumberFormat="1" applyBorder="1"/>
    <xf numFmtId="37" fontId="0" fillId="0" borderId="0" xfId="0" quotePrefix="1" applyNumberFormat="1"/>
    <xf numFmtId="170" fontId="0" fillId="24" borderId="0" xfId="0" applyNumberFormat="1" applyFill="1"/>
    <xf numFmtId="170" fontId="0" fillId="24" borderId="10" xfId="0" applyNumberFormat="1" applyFill="1" applyBorder="1"/>
    <xf numFmtId="5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/>
    </xf>
    <xf numFmtId="171" fontId="0" fillId="0" borderId="10" xfId="0" applyNumberFormat="1" applyBorder="1"/>
    <xf numFmtId="171" fontId="0" fillId="0" borderId="11" xfId="0" applyNumberFormat="1" applyBorder="1"/>
    <xf numFmtId="171" fontId="0" fillId="0" borderId="12" xfId="0" applyNumberFormat="1" applyBorder="1"/>
    <xf numFmtId="3" fontId="0" fillId="0" borderId="0" xfId="0" applyNumberFormat="1"/>
    <xf numFmtId="171" fontId="0" fillId="0" borderId="16" xfId="0" applyNumberFormat="1" applyBorder="1"/>
    <xf numFmtId="171" fontId="0" fillId="0" borderId="19" xfId="0" applyNumberFormat="1" applyBorder="1"/>
    <xf numFmtId="171" fontId="0" fillId="24" borderId="10" xfId="0" applyNumberFormat="1" applyFill="1" applyBorder="1"/>
    <xf numFmtId="171" fontId="6" fillId="0" borderId="11" xfId="0" applyNumberFormat="1" applyFont="1" applyBorder="1" applyProtection="1">
      <protection locked="0"/>
    </xf>
    <xf numFmtId="171" fontId="0" fillId="0" borderId="12" xfId="28" applyNumberFormat="1" applyFont="1" applyFill="1" applyBorder="1"/>
    <xf numFmtId="171" fontId="0" fillId="0" borderId="11" xfId="28" applyNumberFormat="1" applyFont="1" applyFill="1" applyBorder="1"/>
    <xf numFmtId="171" fontId="6" fillId="0" borderId="12" xfId="0" applyNumberFormat="1" applyFont="1" applyBorder="1" applyProtection="1">
      <protection locked="0"/>
    </xf>
    <xf numFmtId="171" fontId="6" fillId="0" borderId="19" xfId="0" applyNumberFormat="1" applyFont="1" applyBorder="1" applyProtection="1">
      <protection locked="0"/>
    </xf>
    <xf numFmtId="171" fontId="34" fillId="0" borderId="0" xfId="0" applyNumberFormat="1" applyFont="1"/>
    <xf numFmtId="171" fontId="34" fillId="0" borderId="10" xfId="0" applyNumberFormat="1" applyFont="1" applyBorder="1"/>
    <xf numFmtId="171" fontId="34" fillId="24" borderId="0" xfId="0" applyNumberFormat="1" applyFont="1" applyFill="1"/>
    <xf numFmtId="171" fontId="34" fillId="24" borderId="10" xfId="0" applyNumberFormat="1" applyFont="1" applyFill="1" applyBorder="1"/>
    <xf numFmtId="174" fontId="0" fillId="0" borderId="0" xfId="28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1" fontId="6" fillId="24" borderId="22" xfId="0" applyNumberFormat="1" applyFont="1" applyFill="1" applyBorder="1" applyProtection="1">
      <protection locked="0"/>
    </xf>
    <xf numFmtId="171" fontId="6" fillId="24" borderId="20" xfId="0" applyNumberFormat="1" applyFont="1" applyFill="1" applyBorder="1" applyProtection="1">
      <protection locked="0"/>
    </xf>
    <xf numFmtId="167" fontId="6" fillId="0" borderId="0" xfId="0" applyNumberFormat="1" applyFont="1"/>
    <xf numFmtId="5" fontId="0" fillId="0" borderId="11" xfId="0" applyNumberFormat="1" applyBorder="1" applyAlignment="1">
      <alignment horizontal="right"/>
    </xf>
    <xf numFmtId="174" fontId="0" fillId="0" borderId="0" xfId="28" applyNumberFormat="1" applyFont="1" applyFill="1" applyAlignment="1">
      <alignment horizontal="right"/>
    </xf>
    <xf numFmtId="174" fontId="0" fillId="0" borderId="0" xfId="28" applyNumberFormat="1" applyFont="1" applyFill="1" applyBorder="1" applyAlignment="1">
      <alignment horizontal="right"/>
    </xf>
    <xf numFmtId="174" fontId="0" fillId="0" borderId="11" xfId="28" applyNumberFormat="1" applyFont="1" applyFill="1" applyBorder="1" applyAlignment="1">
      <alignment horizontal="right"/>
    </xf>
    <xf numFmtId="175" fontId="0" fillId="0" borderId="15" xfId="0" applyNumberFormat="1" applyBorder="1"/>
    <xf numFmtId="175" fontId="0" fillId="0" borderId="17" xfId="0" applyNumberFormat="1" applyBorder="1"/>
    <xf numFmtId="167" fontId="0" fillId="0" borderId="17" xfId="0" applyNumberFormat="1" applyBorder="1"/>
    <xf numFmtId="167" fontId="0" fillId="0" borderId="11" xfId="0" applyNumberFormat="1" applyBorder="1" applyAlignment="1">
      <alignment horizontal="center"/>
    </xf>
    <xf numFmtId="43" fontId="0" fillId="0" borderId="0" xfId="0" applyNumberFormat="1"/>
    <xf numFmtId="43" fontId="0" fillId="0" borderId="0" xfId="28" applyFont="1"/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170" fontId="2" fillId="24" borderId="10" xfId="0" applyNumberFormat="1" applyFont="1" applyFill="1" applyBorder="1"/>
    <xf numFmtId="170" fontId="2" fillId="0" borderId="10" xfId="0" applyNumberFormat="1" applyFont="1" applyBorder="1"/>
    <xf numFmtId="167" fontId="7" fillId="0" borderId="0" xfId="0" applyNumberFormat="1" applyFont="1"/>
    <xf numFmtId="167" fontId="7" fillId="24" borderId="0" xfId="0" applyNumberFormat="1" applyFont="1" applyFill="1"/>
    <xf numFmtId="167" fontId="0" fillId="24" borderId="0" xfId="0" applyNumberFormat="1" applyFill="1"/>
    <xf numFmtId="167" fontId="0" fillId="24" borderId="0" xfId="0" applyNumberFormat="1" applyFill="1" applyAlignment="1">
      <alignment horizontal="right"/>
    </xf>
    <xf numFmtId="0" fontId="7" fillId="24" borderId="15" xfId="0" applyFont="1" applyFill="1" applyBorder="1"/>
    <xf numFmtId="0" fontId="7" fillId="0" borderId="15" xfId="0" applyFont="1" applyBorder="1"/>
    <xf numFmtId="37" fontId="0" fillId="24" borderId="15" xfId="0" applyNumberFormat="1" applyFill="1" applyBorder="1"/>
    <xf numFmtId="37" fontId="0" fillId="0" borderId="15" xfId="0" applyNumberFormat="1" applyBorder="1"/>
    <xf numFmtId="0" fontId="40" fillId="0" borderId="0" xfId="0" applyFont="1"/>
    <xf numFmtId="0" fontId="41" fillId="0" borderId="0" xfId="0" applyFont="1"/>
    <xf numFmtId="174" fontId="6" fillId="0" borderId="0" xfId="28" applyNumberFormat="1" applyFont="1"/>
    <xf numFmtId="5" fontId="6" fillId="0" borderId="0" xfId="0" applyNumberFormat="1" applyFont="1"/>
    <xf numFmtId="0" fontId="7" fillId="0" borderId="10" xfId="0" applyFont="1" applyBorder="1"/>
    <xf numFmtId="0" fontId="4" fillId="24" borderId="11" xfId="0" applyFont="1" applyFill="1" applyBorder="1"/>
    <xf numFmtId="170" fontId="34" fillId="24" borderId="11" xfId="0" applyNumberFormat="1" applyFont="1" applyFill="1" applyBorder="1" applyAlignment="1">
      <alignment horizontal="center"/>
    </xf>
    <xf numFmtId="170" fontId="34" fillId="24" borderId="12" xfId="0" applyNumberFormat="1" applyFont="1" applyFill="1" applyBorder="1" applyAlignment="1">
      <alignment horizontal="center"/>
    </xf>
    <xf numFmtId="167" fontId="0" fillId="24" borderId="10" xfId="0" applyNumberFormat="1" applyFill="1" applyBorder="1"/>
    <xf numFmtId="167" fontId="0" fillId="0" borderId="0" xfId="0" applyNumberFormat="1" applyAlignment="1">
      <alignment horizontal="right"/>
    </xf>
    <xf numFmtId="167" fontId="7" fillId="24" borderId="10" xfId="0" applyNumberFormat="1" applyFont="1" applyFill="1" applyBorder="1"/>
    <xf numFmtId="167" fontId="7" fillId="24" borderId="0" xfId="0" applyNumberFormat="1" applyFont="1" applyFill="1" applyAlignment="1">
      <alignment horizontal="right"/>
    </xf>
    <xf numFmtId="167" fontId="7" fillId="0" borderId="10" xfId="0" applyNumberFormat="1" applyFont="1" applyBorder="1"/>
    <xf numFmtId="167" fontId="7" fillId="0" borderId="0" xfId="0" applyNumberFormat="1" applyFont="1" applyAlignment="1">
      <alignment horizontal="right"/>
    </xf>
    <xf numFmtId="0" fontId="0" fillId="26" borderId="0" xfId="0" applyFill="1"/>
    <xf numFmtId="165" fontId="4" fillId="27" borderId="0" xfId="0" applyNumberFormat="1" applyFont="1" applyFill="1"/>
    <xf numFmtId="0" fontId="3" fillId="26" borderId="0" xfId="0" applyFont="1" applyFill="1"/>
    <xf numFmtId="0" fontId="4" fillId="26" borderId="0" xfId="0" applyFont="1" applyFill="1"/>
    <xf numFmtId="171" fontId="4" fillId="26" borderId="0" xfId="0" applyNumberFormat="1" applyFont="1" applyFill="1"/>
    <xf numFmtId="165" fontId="4" fillId="26" borderId="0" xfId="0" applyNumberFormat="1" applyFont="1" applyFill="1"/>
    <xf numFmtId="171" fontId="3" fillId="26" borderId="0" xfId="0" applyNumberFormat="1" applyFont="1" applyFill="1"/>
    <xf numFmtId="165" fontId="3" fillId="26" borderId="0" xfId="0" applyNumberFormat="1" applyFont="1" applyFill="1"/>
    <xf numFmtId="165" fontId="4" fillId="26" borderId="10" xfId="0" applyNumberFormat="1" applyFont="1" applyFill="1" applyBorder="1"/>
    <xf numFmtId="180" fontId="4" fillId="0" borderId="0" xfId="0" applyNumberFormat="1" applyFont="1"/>
    <xf numFmtId="37" fontId="4" fillId="27" borderId="0" xfId="0" applyNumberFormat="1" applyFont="1" applyFill="1"/>
    <xf numFmtId="165" fontId="4" fillId="27" borderId="0" xfId="0" applyNumberFormat="1" applyFont="1" applyFill="1" applyAlignment="1">
      <alignment horizontal="right"/>
    </xf>
    <xf numFmtId="37" fontId="4" fillId="26" borderId="0" xfId="0" applyNumberFormat="1" applyFont="1" applyFill="1"/>
    <xf numFmtId="37" fontId="4" fillId="27" borderId="11" xfId="0" applyNumberFormat="1" applyFont="1" applyFill="1" applyBorder="1"/>
    <xf numFmtId="165" fontId="4" fillId="27" borderId="11" xfId="0" applyNumberFormat="1" applyFont="1" applyFill="1" applyBorder="1"/>
    <xf numFmtId="0" fontId="0" fillId="28" borderId="0" xfId="0" applyFill="1"/>
    <xf numFmtId="0" fontId="0" fillId="28" borderId="10" xfId="0" applyFill="1" applyBorder="1"/>
    <xf numFmtId="0" fontId="0" fillId="28" borderId="15" xfId="0" applyFill="1" applyBorder="1"/>
    <xf numFmtId="0" fontId="6" fillId="28" borderId="0" xfId="0" applyFont="1" applyFill="1"/>
    <xf numFmtId="171" fontId="4" fillId="24" borderId="22" xfId="0" applyNumberFormat="1" applyFont="1" applyFill="1" applyBorder="1"/>
    <xf numFmtId="171" fontId="4" fillId="0" borderId="10" xfId="0" applyNumberFormat="1" applyFont="1" applyBorder="1"/>
    <xf numFmtId="171" fontId="4" fillId="24" borderId="10" xfId="0" applyNumberFormat="1" applyFont="1" applyFill="1" applyBorder="1"/>
    <xf numFmtId="171" fontId="4" fillId="24" borderId="20" xfId="30" applyNumberFormat="1" applyFont="1" applyFill="1" applyBorder="1"/>
    <xf numFmtId="171" fontId="4" fillId="24" borderId="0" xfId="30" applyNumberFormat="1" applyFont="1" applyFill="1"/>
    <xf numFmtId="0" fontId="42" fillId="0" borderId="0" xfId="0" applyFont="1" applyAlignment="1">
      <alignment horizontal="left"/>
    </xf>
    <xf numFmtId="0" fontId="7" fillId="24" borderId="10" xfId="0" applyFont="1" applyFill="1" applyBorder="1"/>
    <xf numFmtId="165" fontId="0" fillId="0" borderId="0" xfId="0" applyNumberFormat="1"/>
    <xf numFmtId="3" fontId="4" fillId="24" borderId="22" xfId="0" applyNumberFormat="1" applyFont="1" applyFill="1" applyBorder="1"/>
    <xf numFmtId="10" fontId="0" fillId="24" borderId="0" xfId="0" applyNumberFormat="1" applyFill="1"/>
    <xf numFmtId="10" fontId="0" fillId="0" borderId="0" xfId="0" applyNumberFormat="1"/>
    <xf numFmtId="167" fontId="6" fillId="24" borderId="0" xfId="0" applyNumberFormat="1" applyFont="1" applyFill="1"/>
    <xf numFmtId="167" fontId="6" fillId="24" borderId="10" xfId="0" applyNumberFormat="1" applyFont="1" applyFill="1" applyBorder="1"/>
    <xf numFmtId="167" fontId="6" fillId="24" borderId="0" xfId="0" applyNumberFormat="1" applyFont="1" applyFill="1" applyAlignment="1">
      <alignment horizontal="right"/>
    </xf>
    <xf numFmtId="167" fontId="6" fillId="0" borderId="10" xfId="0" applyNumberFormat="1" applyFont="1" applyBorder="1"/>
    <xf numFmtId="167" fontId="6" fillId="0" borderId="0" xfId="0" applyNumberFormat="1" applyFont="1" applyAlignment="1">
      <alignment horizontal="right"/>
    </xf>
    <xf numFmtId="174" fontId="0" fillId="0" borderId="0" xfId="28" applyNumberFormat="1" applyFont="1" applyFill="1" applyBorder="1"/>
    <xf numFmtId="180" fontId="0" fillId="0" borderId="0" xfId="0" applyNumberFormat="1"/>
    <xf numFmtId="0" fontId="42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72" fontId="2" fillId="24" borderId="10" xfId="0" applyNumberFormat="1" applyFont="1" applyFill="1" applyBorder="1" applyAlignment="1">
      <alignment horizontal="center"/>
    </xf>
    <xf numFmtId="172" fontId="2" fillId="24" borderId="0" xfId="0" applyNumberFormat="1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0" fillId="60" borderId="0" xfId="0" applyFill="1"/>
    <xf numFmtId="171" fontId="0" fillId="0" borderId="23" xfId="28" applyNumberFormat="1" applyFont="1" applyFill="1" applyBorder="1" applyAlignment="1">
      <alignment horizontal="right"/>
    </xf>
    <xf numFmtId="170" fontId="0" fillId="0" borderId="0" xfId="0" applyNumberFormat="1" applyAlignment="1">
      <alignment horizontal="center"/>
    </xf>
    <xf numFmtId="5" fontId="0" fillId="0" borderId="0" xfId="0" applyNumberFormat="1" applyAlignment="1">
      <alignment horizontal="right"/>
    </xf>
    <xf numFmtId="49" fontId="2" fillId="0" borderId="24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171" fontId="0" fillId="0" borderId="0" xfId="28" applyNumberFormat="1" applyFont="1" applyFill="1" applyBorder="1" applyAlignment="1">
      <alignment horizontal="right"/>
    </xf>
    <xf numFmtId="1" fontId="0" fillId="0" borderId="0" xfId="28" applyNumberFormat="1" applyFont="1" applyFill="1" applyBorder="1" applyAlignment="1">
      <alignment horizontal="right"/>
    </xf>
    <xf numFmtId="167" fontId="2" fillId="0" borderId="0" xfId="0" applyNumberFormat="1" applyFont="1"/>
    <xf numFmtId="167" fontId="2" fillId="0" borderId="10" xfId="0" applyNumberFormat="1" applyFont="1" applyBorder="1"/>
    <xf numFmtId="167" fontId="2" fillId="0" borderId="0" xfId="0" applyNumberFormat="1" applyFont="1" applyAlignment="1">
      <alignment horizontal="right"/>
    </xf>
    <xf numFmtId="0" fontId="2" fillId="24" borderId="0" xfId="0" applyFont="1" applyFill="1"/>
    <xf numFmtId="167" fontId="2" fillId="24" borderId="0" xfId="0" applyNumberFormat="1" applyFont="1" applyFill="1"/>
    <xf numFmtId="167" fontId="2" fillId="24" borderId="10" xfId="0" applyNumberFormat="1" applyFont="1" applyFill="1" applyBorder="1"/>
    <xf numFmtId="167" fontId="2" fillId="24" borderId="0" xfId="0" applyNumberFormat="1" applyFont="1" applyFill="1" applyAlignment="1">
      <alignment horizontal="right"/>
    </xf>
    <xf numFmtId="0" fontId="6" fillId="0" borderId="14" xfId="0" applyFont="1" applyBorder="1" applyAlignment="1">
      <alignment vertical="center"/>
    </xf>
    <xf numFmtId="0" fontId="0" fillId="0" borderId="38" xfId="0" applyBorder="1"/>
    <xf numFmtId="10" fontId="0" fillId="0" borderId="39" xfId="0" applyNumberFormat="1" applyBorder="1"/>
    <xf numFmtId="0" fontId="0" fillId="0" borderId="39" xfId="0" applyBorder="1"/>
    <xf numFmtId="10" fontId="0" fillId="0" borderId="40" xfId="0" applyNumberFormat="1" applyBorder="1"/>
    <xf numFmtId="0" fontId="0" fillId="0" borderId="40" xfId="0" applyBorder="1"/>
    <xf numFmtId="174" fontId="6" fillId="0" borderId="0" xfId="28" applyNumberFormat="1" applyFont="1" applyFill="1" applyBorder="1" applyAlignment="1">
      <alignment horizontal="right"/>
    </xf>
    <xf numFmtId="1" fontId="0" fillId="0" borderId="10" xfId="28" applyNumberFormat="1" applyFont="1" applyFill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0" fillId="0" borderId="40" xfId="0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168" fontId="2" fillId="0" borderId="40" xfId="0" applyNumberFormat="1" applyFont="1" applyBorder="1" applyAlignment="1">
      <alignment horizontal="center"/>
    </xf>
    <xf numFmtId="174" fontId="6" fillId="0" borderId="38" xfId="28" applyNumberFormat="1" applyFont="1" applyFill="1" applyBorder="1" applyAlignment="1">
      <alignment horizontal="right"/>
    </xf>
    <xf numFmtId="1" fontId="0" fillId="0" borderId="38" xfId="28" applyNumberFormat="1" applyFont="1" applyFill="1" applyBorder="1" applyAlignment="1">
      <alignment horizontal="right"/>
    </xf>
    <xf numFmtId="10" fontId="0" fillId="0" borderId="38" xfId="0" applyNumberFormat="1" applyBorder="1"/>
    <xf numFmtId="174" fontId="0" fillId="0" borderId="38" xfId="28" applyNumberFormat="1" applyFont="1" applyFill="1" applyBorder="1"/>
    <xf numFmtId="174" fontId="6" fillId="0" borderId="39" xfId="28" applyNumberFormat="1" applyFont="1" applyFill="1" applyBorder="1" applyAlignment="1">
      <alignment horizontal="right"/>
    </xf>
    <xf numFmtId="1" fontId="0" fillId="0" borderId="39" xfId="28" applyNumberFormat="1" applyFont="1" applyFill="1" applyBorder="1" applyAlignment="1">
      <alignment horizontal="right"/>
    </xf>
    <xf numFmtId="174" fontId="0" fillId="0" borderId="39" xfId="28" applyNumberFormat="1" applyFont="1" applyFill="1" applyBorder="1"/>
    <xf numFmtId="174" fontId="6" fillId="0" borderId="40" xfId="28" applyNumberFormat="1" applyFont="1" applyFill="1" applyBorder="1" applyAlignment="1">
      <alignment horizontal="right"/>
    </xf>
    <xf numFmtId="1" fontId="0" fillId="0" borderId="40" xfId="28" applyNumberFormat="1" applyFont="1" applyFill="1" applyBorder="1" applyAlignment="1">
      <alignment horizontal="right"/>
    </xf>
    <xf numFmtId="0" fontId="2" fillId="0" borderId="40" xfId="0" applyFont="1" applyBorder="1"/>
    <xf numFmtId="174" fontId="0" fillId="0" borderId="40" xfId="28" applyNumberFormat="1" applyFont="1" applyFill="1" applyBorder="1"/>
    <xf numFmtId="0" fontId="7" fillId="0" borderId="11" xfId="0" applyFont="1" applyBorder="1"/>
    <xf numFmtId="173" fontId="9" fillId="0" borderId="0" xfId="0" applyNumberFormat="1" applyFont="1"/>
    <xf numFmtId="0" fontId="32" fillId="0" borderId="0" xfId="0" applyFont="1" applyAlignment="1">
      <alignment horizontal="right"/>
    </xf>
    <xf numFmtId="0" fontId="66" fillId="0" borderId="10" xfId="0" applyFont="1" applyBorder="1"/>
    <xf numFmtId="171" fontId="12" fillId="0" borderId="0" xfId="0" applyNumberFormat="1" applyFont="1"/>
    <xf numFmtId="0" fontId="67" fillId="0" borderId="0" xfId="89" applyAlignment="1" applyProtection="1"/>
    <xf numFmtId="0" fontId="0" fillId="24" borderId="0" xfId="0" applyFill="1" applyAlignment="1">
      <alignment horizontal="right"/>
    </xf>
    <xf numFmtId="0" fontId="2" fillId="0" borderId="10" xfId="0" applyFont="1" applyBorder="1"/>
    <xf numFmtId="167" fontId="0" fillId="0" borderId="16" xfId="0" applyNumberFormat="1" applyBorder="1"/>
    <xf numFmtId="0" fontId="4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3" fontId="0" fillId="0" borderId="51" xfId="0" applyNumberFormat="1" applyBorder="1"/>
    <xf numFmtId="171" fontId="0" fillId="0" borderId="51" xfId="0" applyNumberFormat="1" applyBorder="1"/>
    <xf numFmtId="171" fontId="2" fillId="0" borderId="0" xfId="0" applyNumberFormat="1" applyFont="1" applyProtection="1">
      <protection locked="0"/>
    </xf>
    <xf numFmtId="0" fontId="0" fillId="0" borderId="51" xfId="0" applyBorder="1"/>
    <xf numFmtId="171" fontId="0" fillId="26" borderId="0" xfId="0" applyNumberFormat="1" applyFill="1"/>
    <xf numFmtId="0" fontId="6" fillId="0" borderId="51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6" fillId="0" borderId="46" xfId="0" applyFont="1" applyBorder="1" applyAlignment="1">
      <alignment horizontal="center"/>
    </xf>
    <xf numFmtId="171" fontId="0" fillId="24" borderId="44" xfId="0" applyNumberFormat="1" applyFill="1" applyBorder="1"/>
    <xf numFmtId="171" fontId="0" fillId="0" borderId="44" xfId="0" applyNumberFormat="1" applyBorder="1"/>
    <xf numFmtId="171" fontId="2" fillId="24" borderId="0" xfId="0" applyNumberFormat="1" applyFont="1" applyFill="1"/>
    <xf numFmtId="0" fontId="12" fillId="26" borderId="11" xfId="0" applyFont="1" applyFill="1" applyBorder="1"/>
    <xf numFmtId="0" fontId="63" fillId="60" borderId="0" xfId="0" applyFont="1" applyFill="1"/>
    <xf numFmtId="0" fontId="6" fillId="0" borderId="53" xfId="0" applyFont="1" applyBorder="1" applyAlignment="1">
      <alignment vertical="center"/>
    </xf>
    <xf numFmtId="0" fontId="0" fillId="0" borderId="54" xfId="0" applyBorder="1"/>
    <xf numFmtId="0" fontId="2" fillId="0" borderId="55" xfId="0" applyFont="1" applyBorder="1" applyAlignment="1">
      <alignment horizontal="center"/>
    </xf>
    <xf numFmtId="0" fontId="0" fillId="0" borderId="56" xfId="0" applyBorder="1"/>
    <xf numFmtId="174" fontId="6" fillId="0" borderId="56" xfId="28" applyNumberFormat="1" applyFont="1" applyFill="1" applyBorder="1" applyAlignment="1">
      <alignment horizontal="right"/>
    </xf>
    <xf numFmtId="1" fontId="0" fillId="0" borderId="57" xfId="28" applyNumberFormat="1" applyFont="1" applyFill="1" applyBorder="1" applyAlignment="1">
      <alignment horizontal="right"/>
    </xf>
    <xf numFmtId="10" fontId="0" fillId="0" borderId="56" xfId="0" applyNumberFormat="1" applyBorder="1"/>
    <xf numFmtId="0" fontId="0" fillId="0" borderId="58" xfId="0" applyBorder="1"/>
    <xf numFmtId="3" fontId="6" fillId="0" borderId="58" xfId="0" applyNumberFormat="1" applyFont="1" applyBorder="1" applyAlignment="1">
      <alignment horizontal="right"/>
    </xf>
    <xf numFmtId="171" fontId="0" fillId="0" borderId="59" xfId="28" applyNumberFormat="1" applyFont="1" applyFill="1" applyBorder="1" applyAlignment="1">
      <alignment horizontal="right"/>
    </xf>
    <xf numFmtId="10" fontId="0" fillId="0" borderId="58" xfId="0" applyNumberFormat="1" applyBorder="1"/>
    <xf numFmtId="170" fontId="0" fillId="24" borderId="0" xfId="0" applyNumberFormat="1" applyFill="1" applyAlignment="1">
      <alignment horizontal="right"/>
    </xf>
    <xf numFmtId="170" fontId="0" fillId="0" borderId="0" xfId="0" applyNumberFormat="1" applyAlignment="1">
      <alignment horizontal="right"/>
    </xf>
    <xf numFmtId="170" fontId="0" fillId="0" borderId="11" xfId="0" applyNumberFormat="1" applyBorder="1" applyAlignment="1">
      <alignment horizontal="right"/>
    </xf>
    <xf numFmtId="170" fontId="0" fillId="24" borderId="10" xfId="0" applyNumberFormat="1" applyFill="1" applyBorder="1" applyAlignment="1">
      <alignment horizontal="right"/>
    </xf>
    <xf numFmtId="170" fontId="0" fillId="0" borderId="10" xfId="0" applyNumberFormat="1" applyBorder="1" applyAlignment="1">
      <alignment horizontal="right"/>
    </xf>
    <xf numFmtId="0" fontId="0" fillId="61" borderId="11" xfId="0" applyFill="1" applyBorder="1" applyAlignment="1">
      <alignment horizontal="right"/>
    </xf>
    <xf numFmtId="170" fontId="0" fillId="61" borderId="11" xfId="0" applyNumberFormat="1" applyFill="1" applyBorder="1" applyAlignment="1">
      <alignment horizontal="right"/>
    </xf>
    <xf numFmtId="0" fontId="0" fillId="61" borderId="19" xfId="0" applyFill="1" applyBorder="1" applyAlignment="1">
      <alignment horizontal="right"/>
    </xf>
    <xf numFmtId="170" fontId="0" fillId="24" borderId="16" xfId="0" applyNumberFormat="1" applyFill="1" applyBorder="1"/>
    <xf numFmtId="0" fontId="0" fillId="24" borderId="51" xfId="0" applyFill="1" applyBorder="1"/>
    <xf numFmtId="0" fontId="2" fillId="28" borderId="10" xfId="0" applyFont="1" applyFill="1" applyBorder="1"/>
    <xf numFmtId="0" fontId="0" fillId="61" borderId="0" xfId="0" applyFill="1"/>
    <xf numFmtId="167" fontId="0" fillId="26" borderId="0" xfId="0" applyNumberFormat="1" applyFill="1"/>
    <xf numFmtId="167" fontId="0" fillId="26" borderId="10" xfId="0" applyNumberFormat="1" applyFill="1" applyBorder="1"/>
    <xf numFmtId="167" fontId="0" fillId="26" borderId="16" xfId="0" applyNumberFormat="1" applyFill="1" applyBorder="1" applyAlignment="1">
      <alignment horizontal="right"/>
    </xf>
    <xf numFmtId="0" fontId="2" fillId="26" borderId="0" xfId="0" applyFont="1" applyFill="1"/>
    <xf numFmtId="167" fontId="0" fillId="61" borderId="0" xfId="0" applyNumberFormat="1" applyFill="1"/>
    <xf numFmtId="167" fontId="0" fillId="61" borderId="16" xfId="0" applyNumberFormat="1" applyFill="1" applyBorder="1"/>
    <xf numFmtId="167" fontId="0" fillId="61" borderId="0" xfId="0" applyNumberFormat="1" applyFill="1" applyAlignment="1">
      <alignment horizontal="right"/>
    </xf>
    <xf numFmtId="0" fontId="0" fillId="61" borderId="39" xfId="0" applyFill="1" applyBorder="1"/>
    <xf numFmtId="167" fontId="0" fillId="0" borderId="11" xfId="0" applyNumberFormat="1" applyBorder="1"/>
    <xf numFmtId="167" fontId="0" fillId="0" borderId="12" xfId="0" applyNumberFormat="1" applyBorder="1"/>
    <xf numFmtId="167" fontId="0" fillId="0" borderId="11" xfId="0" applyNumberFormat="1" applyBorder="1" applyAlignment="1">
      <alignment horizontal="right"/>
    </xf>
    <xf numFmtId="167" fontId="7" fillId="0" borderId="11" xfId="0" applyNumberFormat="1" applyFont="1" applyBorder="1"/>
    <xf numFmtId="0" fontId="68" fillId="62" borderId="0" xfId="0" applyFont="1" applyFill="1"/>
    <xf numFmtId="3" fontId="7" fillId="0" borderId="0" xfId="0" applyNumberFormat="1" applyFont="1" applyAlignment="1">
      <alignment horizontal="center"/>
    </xf>
    <xf numFmtId="171" fontId="0" fillId="61" borderId="0" xfId="0" applyNumberFormat="1" applyFill="1"/>
    <xf numFmtId="171" fontId="0" fillId="61" borderId="44" xfId="0" applyNumberFormat="1" applyFill="1" applyBorder="1"/>
    <xf numFmtId="165" fontId="3" fillId="26" borderId="60" xfId="0" applyNumberFormat="1" applyFont="1" applyFill="1" applyBorder="1"/>
    <xf numFmtId="10" fontId="0" fillId="62" borderId="26" xfId="0" applyNumberFormat="1" applyFill="1" applyBorder="1"/>
    <xf numFmtId="0" fontId="2" fillId="62" borderId="27" xfId="0" applyFont="1" applyFill="1" applyBorder="1"/>
    <xf numFmtId="0" fontId="0" fillId="62" borderId="27" xfId="0" applyFill="1" applyBorder="1"/>
    <xf numFmtId="0" fontId="0" fillId="62" borderId="28" xfId="0" applyFill="1" applyBorder="1"/>
    <xf numFmtId="170" fontId="0" fillId="62" borderId="26" xfId="0" applyNumberFormat="1" applyFill="1" applyBorder="1"/>
    <xf numFmtId="0" fontId="0" fillId="62" borderId="25" xfId="0" applyFill="1" applyBorder="1" applyAlignment="1">
      <alignment horizontal="left"/>
    </xf>
    <xf numFmtId="0" fontId="0" fillId="62" borderId="48" xfId="0" applyFill="1" applyBorder="1"/>
    <xf numFmtId="0" fontId="0" fillId="62" borderId="49" xfId="0" applyFill="1" applyBorder="1"/>
    <xf numFmtId="180" fontId="0" fillId="62" borderId="50" xfId="0" applyNumberFormat="1" applyFill="1" applyBorder="1"/>
    <xf numFmtId="0" fontId="2" fillId="62" borderId="0" xfId="0" applyFont="1" applyFill="1"/>
    <xf numFmtId="0" fontId="0" fillId="62" borderId="0" xfId="0" applyFill="1"/>
    <xf numFmtId="0" fontId="2" fillId="62" borderId="41" xfId="0" applyFont="1" applyFill="1" applyBorder="1" applyAlignment="1">
      <alignment horizontal="right"/>
    </xf>
    <xf numFmtId="0" fontId="0" fillId="62" borderId="22" xfId="0" applyFill="1" applyBorder="1"/>
    <xf numFmtId="0" fontId="2" fillId="62" borderId="22" xfId="0" applyFont="1" applyFill="1" applyBorder="1" applyAlignment="1">
      <alignment horizontal="right"/>
    </xf>
    <xf numFmtId="0" fontId="2" fillId="62" borderId="42" xfId="0" applyFont="1" applyFill="1" applyBorder="1" applyAlignment="1">
      <alignment horizontal="right"/>
    </xf>
    <xf numFmtId="0" fontId="0" fillId="62" borderId="45" xfId="0" applyFill="1" applyBorder="1"/>
    <xf numFmtId="0" fontId="0" fillId="62" borderId="51" xfId="0" applyFill="1" applyBorder="1"/>
    <xf numFmtId="167" fontId="0" fillId="62" borderId="51" xfId="0" applyNumberFormat="1" applyFill="1" applyBorder="1"/>
    <xf numFmtId="167" fontId="0" fillId="62" borderId="46" xfId="0" applyNumberFormat="1" applyFill="1" applyBorder="1"/>
    <xf numFmtId="0" fontId="2" fillId="62" borderId="45" xfId="0" applyFont="1" applyFill="1" applyBorder="1" applyAlignment="1">
      <alignment horizontal="right"/>
    </xf>
    <xf numFmtId="0" fontId="2" fillId="62" borderId="41" xfId="0" applyFont="1" applyFill="1" applyBorder="1"/>
    <xf numFmtId="0" fontId="2" fillId="62" borderId="22" xfId="0" applyFont="1" applyFill="1" applyBorder="1"/>
    <xf numFmtId="0" fontId="0" fillId="62" borderId="42" xfId="0" applyFill="1" applyBorder="1"/>
    <xf numFmtId="0" fontId="2" fillId="62" borderId="43" xfId="0" applyFont="1" applyFill="1" applyBorder="1"/>
    <xf numFmtId="0" fontId="0" fillId="62" borderId="44" xfId="0" applyFill="1" applyBorder="1"/>
    <xf numFmtId="171" fontId="0" fillId="62" borderId="45" xfId="0" applyNumberFormat="1" applyFill="1" applyBorder="1"/>
    <xf numFmtId="0" fontId="0" fillId="62" borderId="46" xfId="0" applyFill="1" applyBorder="1"/>
    <xf numFmtId="0" fontId="2" fillId="62" borderId="26" xfId="0" applyFont="1" applyFill="1" applyBorder="1"/>
    <xf numFmtId="171" fontId="0" fillId="62" borderId="28" xfId="0" applyNumberFormat="1" applyFill="1" applyBorder="1"/>
    <xf numFmtId="0" fontId="0" fillId="62" borderId="41" xfId="0" applyFill="1" applyBorder="1"/>
    <xf numFmtId="0" fontId="6" fillId="62" borderId="22" xfId="0" applyFont="1" applyFill="1" applyBorder="1"/>
    <xf numFmtId="171" fontId="0" fillId="62" borderId="22" xfId="0" applyNumberFormat="1" applyFill="1" applyBorder="1"/>
    <xf numFmtId="0" fontId="0" fillId="62" borderId="43" xfId="0" applyFill="1" applyBorder="1"/>
    <xf numFmtId="171" fontId="0" fillId="62" borderId="0" xfId="0" applyNumberFormat="1" applyFill="1"/>
    <xf numFmtId="0" fontId="6" fillId="62" borderId="0" xfId="0" applyFont="1" applyFill="1"/>
    <xf numFmtId="0" fontId="7" fillId="62" borderId="51" xfId="0" applyFont="1" applyFill="1" applyBorder="1"/>
    <xf numFmtId="10" fontId="7" fillId="62" borderId="46" xfId="0" applyNumberFormat="1" applyFont="1" applyFill="1" applyBorder="1"/>
    <xf numFmtId="10" fontId="7" fillId="62" borderId="26" xfId="0" applyNumberFormat="1" applyFont="1" applyFill="1" applyBorder="1"/>
    <xf numFmtId="0" fontId="7" fillId="62" borderId="27" xfId="0" applyFont="1" applyFill="1" applyBorder="1"/>
    <xf numFmtId="165" fontId="0" fillId="62" borderId="45" xfId="0" applyNumberFormat="1" applyFill="1" applyBorder="1"/>
    <xf numFmtId="0" fontId="6" fillId="26" borderId="11" xfId="0" applyFont="1" applyFill="1" applyBorder="1"/>
    <xf numFmtId="172" fontId="6" fillId="26" borderId="11" xfId="0" applyNumberFormat="1" applyFont="1" applyFill="1" applyBorder="1" applyAlignment="1">
      <alignment horizontal="center"/>
    </xf>
    <xf numFmtId="172" fontId="6" fillId="26" borderId="1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left"/>
    </xf>
    <xf numFmtId="171" fontId="6" fillId="24" borderId="49" xfId="0" applyNumberFormat="1" applyFont="1" applyFill="1" applyBorder="1" applyProtection="1">
      <protection locked="0"/>
    </xf>
    <xf numFmtId="171" fontId="6" fillId="24" borderId="18" xfId="0" applyNumberFormat="1" applyFont="1" applyFill="1" applyBorder="1" applyProtection="1">
      <protection locked="0"/>
    </xf>
    <xf numFmtId="171" fontId="0" fillId="24" borderId="51" xfId="0" applyNumberFormat="1" applyFill="1" applyBorder="1"/>
    <xf numFmtId="171" fontId="6" fillId="24" borderId="52" xfId="0" applyNumberFormat="1" applyFont="1" applyFill="1" applyBorder="1" applyProtection="1">
      <protection locked="0"/>
    </xf>
    <xf numFmtId="171" fontId="6" fillId="24" borderId="51" xfId="0" applyNumberFormat="1" applyFont="1" applyFill="1" applyBorder="1" applyProtection="1">
      <protection locked="0"/>
    </xf>
    <xf numFmtId="171" fontId="0" fillId="24" borderId="52" xfId="28" applyNumberFormat="1" applyFont="1" applyFill="1" applyBorder="1"/>
    <xf numFmtId="171" fontId="0" fillId="24" borderId="51" xfId="28" applyNumberFormat="1" applyFont="1" applyFill="1" applyBorder="1"/>
    <xf numFmtId="37" fontId="6" fillId="24" borderId="18" xfId="0" applyNumberFormat="1" applyFont="1" applyFill="1" applyBorder="1" applyProtection="1">
      <protection locked="0"/>
    </xf>
    <xf numFmtId="171" fontId="0" fillId="24" borderId="50" xfId="0" applyNumberFormat="1" applyFill="1" applyBorder="1"/>
    <xf numFmtId="171" fontId="6" fillId="24" borderId="50" xfId="0" applyNumberFormat="1" applyFont="1" applyFill="1" applyBorder="1" applyProtection="1">
      <protection locked="0"/>
    </xf>
    <xf numFmtId="37" fontId="6" fillId="0" borderId="18" xfId="0" applyNumberFormat="1" applyFont="1" applyBorder="1" applyProtection="1">
      <protection locked="0"/>
    </xf>
    <xf numFmtId="171" fontId="0" fillId="0" borderId="18" xfId="0" applyNumberFormat="1" applyBorder="1"/>
    <xf numFmtId="171" fontId="0" fillId="0" borderId="49" xfId="0" applyNumberFormat="1" applyBorder="1"/>
    <xf numFmtId="171" fontId="0" fillId="26" borderId="10" xfId="0" applyNumberFormat="1" applyFill="1" applyBorder="1"/>
    <xf numFmtId="0" fontId="0" fillId="26" borderId="39" xfId="0" applyFill="1" applyBorder="1"/>
    <xf numFmtId="0" fontId="2" fillId="0" borderId="0" xfId="0" applyFont="1" applyAlignment="1">
      <alignment horizontal="right"/>
    </xf>
    <xf numFmtId="10" fontId="0" fillId="0" borderId="0" xfId="88" applyNumberFormat="1" applyFont="1" applyBorder="1"/>
    <xf numFmtId="0" fontId="0" fillId="24" borderId="39" xfId="0" applyFill="1" applyBorder="1"/>
    <xf numFmtId="167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0" fontId="6" fillId="0" borderId="17" xfId="0" applyFont="1" applyBorder="1"/>
    <xf numFmtId="167" fontId="0" fillId="0" borderId="51" xfId="0" applyNumberFormat="1" applyBorder="1" applyAlignment="1">
      <alignment horizontal="right"/>
    </xf>
    <xf numFmtId="0" fontId="0" fillId="0" borderId="64" xfId="0" applyBorder="1"/>
    <xf numFmtId="0" fontId="0" fillId="0" borderId="60" xfId="0" applyBorder="1"/>
    <xf numFmtId="0" fontId="0" fillId="28" borderId="39" xfId="0" applyFill="1" applyBorder="1"/>
    <xf numFmtId="0" fontId="0" fillId="0" borderId="22" xfId="0" applyBorder="1"/>
    <xf numFmtId="0" fontId="2" fillId="28" borderId="0" xfId="0" applyFont="1" applyFill="1"/>
    <xf numFmtId="0" fontId="0" fillId="28" borderId="16" xfId="0" applyFill="1" applyBorder="1"/>
    <xf numFmtId="0" fontId="2" fillId="0" borderId="51" xfId="0" applyFont="1" applyBorder="1"/>
    <xf numFmtId="0" fontId="0" fillId="63" borderId="0" xfId="0" applyFill="1"/>
    <xf numFmtId="0" fontId="0" fillId="63" borderId="11" xfId="0" applyFill="1" applyBorder="1"/>
    <xf numFmtId="171" fontId="4" fillId="27" borderId="0" xfId="0" applyNumberFormat="1" applyFont="1" applyFill="1"/>
    <xf numFmtId="49" fontId="69" fillId="0" borderId="24" xfId="0" applyNumberFormat="1" applyFont="1" applyBorder="1" applyAlignment="1">
      <alignment horizontal="center"/>
    </xf>
    <xf numFmtId="174" fontId="69" fillId="24" borderId="0" xfId="28" applyNumberFormat="1" applyFont="1" applyFill="1" applyBorder="1" applyAlignment="1">
      <alignment horizontal="right"/>
    </xf>
    <xf numFmtId="174" fontId="69" fillId="0" borderId="0" xfId="28" applyNumberFormat="1" applyFont="1"/>
    <xf numFmtId="174" fontId="69" fillId="24" borderId="0" xfId="28" applyNumberFormat="1" applyFont="1" applyFill="1"/>
    <xf numFmtId="174" fontId="69" fillId="0" borderId="0" xfId="28" applyNumberFormat="1" applyFont="1" applyFill="1"/>
    <xf numFmtId="174" fontId="69" fillId="24" borderId="0" xfId="28" applyNumberFormat="1" applyFont="1" applyFill="1" applyBorder="1"/>
    <xf numFmtId="3" fontId="69" fillId="0" borderId="18" xfId="0" applyNumberFormat="1" applyFont="1" applyBorder="1" applyAlignment="1">
      <alignment horizontal="right"/>
    </xf>
    <xf numFmtId="10" fontId="7" fillId="24" borderId="11" xfId="0" applyNumberFormat="1" applyFont="1" applyFill="1" applyBorder="1"/>
    <xf numFmtId="0" fontId="68" fillId="60" borderId="0" xfId="0" applyFont="1" applyFill="1"/>
    <xf numFmtId="171" fontId="0" fillId="60" borderId="0" xfId="0" applyNumberFormat="1" applyFill="1"/>
    <xf numFmtId="174" fontId="0" fillId="60" borderId="0" xfId="28" applyNumberFormat="1" applyFont="1" applyFill="1" applyBorder="1"/>
    <xf numFmtId="174" fontId="0" fillId="60" borderId="0" xfId="28" applyNumberFormat="1" applyFont="1" applyFill="1"/>
    <xf numFmtId="171" fontId="6" fillId="60" borderId="10" xfId="0" applyNumberFormat="1" applyFont="1" applyFill="1" applyBorder="1" applyProtection="1">
      <protection locked="0"/>
    </xf>
    <xf numFmtId="171" fontId="6" fillId="60" borderId="0" xfId="0" applyNumberFormat="1" applyFont="1" applyFill="1" applyProtection="1">
      <protection locked="0"/>
    </xf>
    <xf numFmtId="0" fontId="2" fillId="0" borderId="11" xfId="0" applyFont="1" applyBorder="1" applyAlignment="1">
      <alignment horizontal="right"/>
    </xf>
    <xf numFmtId="0" fontId="0" fillId="27" borderId="0" xfId="0" applyFill="1"/>
    <xf numFmtId="3" fontId="0" fillId="27" borderId="0" xfId="0" applyNumberFormat="1" applyFill="1"/>
    <xf numFmtId="0" fontId="2" fillId="0" borderId="12" xfId="0" applyFont="1" applyBorder="1" applyAlignment="1">
      <alignment horizontal="center"/>
    </xf>
    <xf numFmtId="37" fontId="7" fillId="24" borderId="61" xfId="0" applyNumberFormat="1" applyFont="1" applyFill="1" applyBorder="1" applyProtection="1">
      <protection locked="0"/>
    </xf>
    <xf numFmtId="171" fontId="7" fillId="24" borderId="62" xfId="0" applyNumberFormat="1" applyFont="1" applyFill="1" applyBorder="1"/>
    <xf numFmtId="171" fontId="7" fillId="24" borderId="63" xfId="0" applyNumberFormat="1" applyFont="1" applyFill="1" applyBorder="1" applyProtection="1">
      <protection locked="0"/>
    </xf>
    <xf numFmtId="171" fontId="0" fillId="0" borderId="22" xfId="0" applyNumberFormat="1" applyBorder="1"/>
    <xf numFmtId="5" fontId="7" fillId="26" borderId="62" xfId="0" applyNumberFormat="1" applyFont="1" applyFill="1" applyBorder="1" applyAlignment="1" applyProtection="1">
      <alignment horizontal="right"/>
      <protection locked="0"/>
    </xf>
    <xf numFmtId="5" fontId="7" fillId="26" borderId="61" xfId="0" applyNumberFormat="1" applyFont="1" applyFill="1" applyBorder="1" applyAlignment="1" applyProtection="1">
      <alignment horizontal="right"/>
      <protection locked="0"/>
    </xf>
    <xf numFmtId="37" fontId="7" fillId="26" borderId="61" xfId="0" applyNumberFormat="1" applyFont="1" applyFill="1" applyBorder="1" applyProtection="1">
      <protection locked="0"/>
    </xf>
    <xf numFmtId="37" fontId="7" fillId="0" borderId="11" xfId="0" applyNumberFormat="1" applyFont="1" applyBorder="1" applyProtection="1">
      <protection locked="0"/>
    </xf>
    <xf numFmtId="171" fontId="7" fillId="0" borderId="19" xfId="0" applyNumberFormat="1" applyFont="1" applyBorder="1"/>
    <xf numFmtId="44" fontId="7" fillId="0" borderId="19" xfId="0" applyNumberFormat="1" applyFont="1" applyBorder="1"/>
    <xf numFmtId="176" fontId="0" fillId="62" borderId="51" xfId="88" applyNumberFormat="1" applyFont="1" applyFill="1" applyBorder="1"/>
    <xf numFmtId="0" fontId="71" fillId="0" borderId="0" xfId="0" applyFont="1" applyAlignment="1">
      <alignment horizontal="left"/>
    </xf>
    <xf numFmtId="10" fontId="9" fillId="24" borderId="0" xfId="0" applyNumberFormat="1" applyFont="1" applyFill="1" applyAlignment="1">
      <alignment horizontal="center"/>
    </xf>
    <xf numFmtId="9" fontId="9" fillId="24" borderId="0" xfId="88" applyFont="1" applyFill="1" applyAlignment="1">
      <alignment horizontal="center"/>
    </xf>
    <xf numFmtId="10" fontId="9" fillId="24" borderId="0" xfId="88" applyNumberFormat="1" applyFont="1" applyFill="1" applyAlignment="1">
      <alignment horizontal="center"/>
    </xf>
    <xf numFmtId="10" fontId="9" fillId="0" borderId="0" xfId="88" applyNumberFormat="1" applyFont="1" applyAlignment="1">
      <alignment horizontal="center"/>
    </xf>
    <xf numFmtId="10" fontId="12" fillId="26" borderId="11" xfId="88" applyNumberFormat="1" applyFont="1" applyFill="1" applyBorder="1" applyAlignment="1">
      <alignment horizontal="center"/>
    </xf>
    <xf numFmtId="171" fontId="7" fillId="24" borderId="65" xfId="0" applyNumberFormat="1" applyFont="1" applyFill="1" applyBorder="1" applyProtection="1">
      <protection locked="0"/>
    </xf>
    <xf numFmtId="171" fontId="7" fillId="24" borderId="66" xfId="0" applyNumberFormat="1" applyFont="1" applyFill="1" applyBorder="1" applyProtection="1">
      <protection locked="0"/>
    </xf>
    <xf numFmtId="171" fontId="7" fillId="24" borderId="67" xfId="0" applyNumberFormat="1" applyFont="1" applyFill="1" applyBorder="1" applyProtection="1">
      <protection locked="0"/>
    </xf>
    <xf numFmtId="171" fontId="7" fillId="24" borderId="61" xfId="0" applyNumberFormat="1" applyFont="1" applyFill="1" applyBorder="1" applyProtection="1">
      <protection locked="0"/>
    </xf>
    <xf numFmtId="0" fontId="0" fillId="64" borderId="0" xfId="0" applyFill="1"/>
    <xf numFmtId="4" fontId="0" fillId="64" borderId="0" xfId="0" applyNumberFormat="1" applyFill="1" applyAlignment="1">
      <alignment horizontal="right"/>
    </xf>
    <xf numFmtId="10" fontId="0" fillId="64" borderId="0" xfId="0" applyNumberFormat="1" applyFill="1"/>
    <xf numFmtId="9" fontId="0" fillId="64" borderId="0" xfId="88" applyFont="1" applyFill="1" applyAlignment="1">
      <alignment horizontal="center"/>
    </xf>
    <xf numFmtId="172" fontId="0" fillId="64" borderId="0" xfId="0" applyNumberFormat="1" applyFill="1"/>
    <xf numFmtId="0" fontId="0" fillId="65" borderId="0" xfId="0" applyFill="1"/>
    <xf numFmtId="0" fontId="0" fillId="24" borderId="68" xfId="0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24" borderId="16" xfId="0" applyFill="1" applyBorder="1" applyAlignment="1">
      <alignment horizontal="right"/>
    </xf>
    <xf numFmtId="3" fontId="0" fillId="24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24" borderId="68" xfId="0" applyNumberFormat="1" applyFill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24" borderId="16" xfId="0" applyNumberFormat="1" applyFill="1" applyBorder="1" applyAlignment="1">
      <alignment horizontal="right"/>
    </xf>
    <xf numFmtId="167" fontId="2" fillId="0" borderId="25" xfId="0" applyNumberFormat="1" applyFont="1" applyBorder="1"/>
    <xf numFmtId="0" fontId="2" fillId="0" borderId="47" xfId="0" applyFont="1" applyBorder="1"/>
    <xf numFmtId="0" fontId="0" fillId="0" borderId="47" xfId="0" applyBorder="1"/>
    <xf numFmtId="0" fontId="0" fillId="0" borderId="48" xfId="0" applyBorder="1"/>
    <xf numFmtId="10" fontId="7" fillId="0" borderId="49" xfId="88" applyNumberFormat="1" applyFont="1" applyFill="1" applyBorder="1"/>
    <xf numFmtId="0" fontId="7" fillId="0" borderId="18" xfId="0" applyFont="1" applyBorder="1"/>
    <xf numFmtId="0" fontId="0" fillId="0" borderId="50" xfId="0" applyBorder="1"/>
    <xf numFmtId="2" fontId="0" fillId="0" borderId="0" xfId="0" applyNumberFormat="1"/>
    <xf numFmtId="167" fontId="69" fillId="0" borderId="49" xfId="0" applyNumberFormat="1" applyFont="1" applyBorder="1"/>
    <xf numFmtId="0" fontId="69" fillId="0" borderId="0" xfId="0" applyFont="1"/>
    <xf numFmtId="0" fontId="69" fillId="0" borderId="16" xfId="0" applyFont="1" applyBorder="1"/>
    <xf numFmtId="0" fontId="63" fillId="62" borderId="0" xfId="0" applyFont="1" applyFill="1"/>
    <xf numFmtId="0" fontId="72" fillId="62" borderId="0" xfId="0" applyFont="1" applyFill="1"/>
    <xf numFmtId="0" fontId="73" fillId="62" borderId="0" xfId="0" applyFont="1" applyFill="1"/>
    <xf numFmtId="37" fontId="74" fillId="0" borderId="0" xfId="0" applyNumberFormat="1" applyFont="1" applyProtection="1">
      <protection locked="0"/>
    </xf>
    <xf numFmtId="0" fontId="0" fillId="26" borderId="60" xfId="0" applyFill="1" applyBorder="1"/>
    <xf numFmtId="0" fontId="0" fillId="0" borderId="52" xfId="0" applyBorder="1"/>
    <xf numFmtId="172" fontId="0" fillId="24" borderId="0" xfId="0" applyNumberFormat="1" applyFill="1"/>
    <xf numFmtId="172" fontId="0" fillId="0" borderId="51" xfId="0" applyNumberFormat="1" applyBorder="1" applyAlignment="1">
      <alignment horizontal="center"/>
    </xf>
    <xf numFmtId="172" fontId="0" fillId="26" borderId="0" xfId="0" applyNumberFormat="1" applyFill="1" applyAlignment="1">
      <alignment horizontal="center"/>
    </xf>
    <xf numFmtId="172" fontId="0" fillId="26" borderId="0" xfId="0" applyNumberFormat="1" applyFill="1"/>
    <xf numFmtId="172" fontId="0" fillId="0" borderId="51" xfId="0" applyNumberFormat="1" applyBorder="1"/>
    <xf numFmtId="0" fontId="3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5" fillId="0" borderId="0" xfId="0" applyFont="1" applyAlignment="1">
      <alignment horizontal="center"/>
    </xf>
    <xf numFmtId="166" fontId="8" fillId="0" borderId="0" xfId="0" quotePrefix="1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60" borderId="0" xfId="0" applyFill="1" applyAlignment="1">
      <alignment wrapText="1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8" fillId="60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32" fillId="0" borderId="0" xfId="0" applyFont="1" applyFill="1"/>
  </cellXfs>
  <cellStyles count="90">
    <cellStyle name="20% - Accent1" xfId="1" builtinId="30" customBuiltin="1"/>
    <cellStyle name="20% - Accent1 2" xfId="47" xr:uid="{00000000-0005-0000-0000-000001000000}"/>
    <cellStyle name="20% - Accent2" xfId="2" builtinId="34" customBuiltin="1"/>
    <cellStyle name="20% - Accent2 2" xfId="48" xr:uid="{00000000-0005-0000-0000-000003000000}"/>
    <cellStyle name="20% - Accent3" xfId="3" builtinId="38" customBuiltin="1"/>
    <cellStyle name="20% - Accent3 2" xfId="49" xr:uid="{00000000-0005-0000-0000-000005000000}"/>
    <cellStyle name="20% - Accent4" xfId="4" builtinId="42" customBuiltin="1"/>
    <cellStyle name="20% - Accent4 2" xfId="50" xr:uid="{00000000-0005-0000-0000-000007000000}"/>
    <cellStyle name="20% - Accent5" xfId="5" builtinId="46" customBuiltin="1"/>
    <cellStyle name="20% - Accent5 2" xfId="51" xr:uid="{00000000-0005-0000-0000-000009000000}"/>
    <cellStyle name="20% - Accent6" xfId="6" builtinId="50" customBuiltin="1"/>
    <cellStyle name="20% - Accent6 2" xfId="52" xr:uid="{00000000-0005-0000-0000-00000B000000}"/>
    <cellStyle name="40% - Accent1" xfId="7" builtinId="31" customBuiltin="1"/>
    <cellStyle name="40% - Accent1 2" xfId="53" xr:uid="{00000000-0005-0000-0000-00000D000000}"/>
    <cellStyle name="40% - Accent2" xfId="8" builtinId="35" customBuiltin="1"/>
    <cellStyle name="40% - Accent2 2" xfId="54" xr:uid="{00000000-0005-0000-0000-00000F000000}"/>
    <cellStyle name="40% - Accent3" xfId="9" builtinId="39" customBuiltin="1"/>
    <cellStyle name="40% - Accent3 2" xfId="55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7" xr:uid="{00000000-0005-0000-0000-000015000000}"/>
    <cellStyle name="40% - Accent6" xfId="12" builtinId="51" customBuiltin="1"/>
    <cellStyle name="40% - Accent6 2" xfId="58" xr:uid="{00000000-0005-0000-0000-000017000000}"/>
    <cellStyle name="60% - Accent1" xfId="13" builtinId="32" customBuiltin="1"/>
    <cellStyle name="60% - Accent1 2" xfId="59" xr:uid="{00000000-0005-0000-0000-000019000000}"/>
    <cellStyle name="60% - Accent2" xfId="14" builtinId="36" customBuiltin="1"/>
    <cellStyle name="60% - Accent2 2" xfId="60" xr:uid="{00000000-0005-0000-0000-00001B000000}"/>
    <cellStyle name="60% - Accent3" xfId="15" builtinId="40" customBuiltin="1"/>
    <cellStyle name="60% - Accent3 2" xfId="61" xr:uid="{00000000-0005-0000-0000-00001D000000}"/>
    <cellStyle name="60% - Accent4" xfId="16" builtinId="44" customBuiltin="1"/>
    <cellStyle name="60% - Accent4 2" xfId="62" xr:uid="{00000000-0005-0000-0000-00001F000000}"/>
    <cellStyle name="60% - Accent5" xfId="17" builtinId="48" customBuiltin="1"/>
    <cellStyle name="60% - Accent5 2" xfId="63" xr:uid="{00000000-0005-0000-0000-000021000000}"/>
    <cellStyle name="60% - Accent6" xfId="18" builtinId="52" customBuiltin="1"/>
    <cellStyle name="60% - Accent6 2" xfId="64" xr:uid="{00000000-0005-0000-0000-000023000000}"/>
    <cellStyle name="Accent1" xfId="19" builtinId="29" customBuiltin="1"/>
    <cellStyle name="Accent1 2" xfId="65" xr:uid="{00000000-0005-0000-0000-000025000000}"/>
    <cellStyle name="Accent2" xfId="20" builtinId="33" customBuiltin="1"/>
    <cellStyle name="Accent2 2" xfId="66" xr:uid="{00000000-0005-0000-0000-000027000000}"/>
    <cellStyle name="Accent3" xfId="21" builtinId="37" customBuiltin="1"/>
    <cellStyle name="Accent3 2" xfId="67" xr:uid="{00000000-0005-0000-0000-000029000000}"/>
    <cellStyle name="Accent4" xfId="22" builtinId="41" customBuiltin="1"/>
    <cellStyle name="Accent4 2" xfId="68" xr:uid="{00000000-0005-0000-0000-00002B000000}"/>
    <cellStyle name="Accent5" xfId="23" builtinId="45" customBuiltin="1"/>
    <cellStyle name="Accent5 2" xfId="69" xr:uid="{00000000-0005-0000-0000-00002D000000}"/>
    <cellStyle name="Accent6" xfId="24" builtinId="49" customBuiltin="1"/>
    <cellStyle name="Accent6 2" xfId="70" xr:uid="{00000000-0005-0000-0000-00002F000000}"/>
    <cellStyle name="Bad" xfId="25" builtinId="27" customBuiltin="1"/>
    <cellStyle name="Bad 2" xfId="71" xr:uid="{00000000-0005-0000-0000-000031000000}"/>
    <cellStyle name="Calculation" xfId="26" builtinId="22" customBuiltin="1"/>
    <cellStyle name="Calculation 2" xfId="72" xr:uid="{00000000-0005-0000-0000-000033000000}"/>
    <cellStyle name="Check Cell" xfId="27" builtinId="23" customBuiltin="1"/>
    <cellStyle name="Check Cell 2" xfId="73" xr:uid="{00000000-0005-0000-0000-000035000000}"/>
    <cellStyle name="Comma" xfId="28" builtinId="3"/>
    <cellStyle name="Comma 2" xfId="29" xr:uid="{00000000-0005-0000-0000-000037000000}"/>
    <cellStyle name="Currency" xfId="30" builtinId="4"/>
    <cellStyle name="Currency 3" xfId="31" xr:uid="{00000000-0005-0000-0000-000039000000}"/>
    <cellStyle name="Explanatory Text" xfId="32" builtinId="53" customBuiltin="1"/>
    <cellStyle name="Explanatory Text 2" xfId="74" xr:uid="{00000000-0005-0000-0000-00003B000000}"/>
    <cellStyle name="Good" xfId="33" builtinId="26" customBuiltin="1"/>
    <cellStyle name="Good 2" xfId="75" xr:uid="{00000000-0005-0000-0000-00003D000000}"/>
    <cellStyle name="Heading 1" xfId="34" builtinId="16" customBuiltin="1"/>
    <cellStyle name="Heading 1 2" xfId="76" xr:uid="{00000000-0005-0000-0000-00003F000000}"/>
    <cellStyle name="Heading 2" xfId="35" builtinId="17" customBuiltin="1"/>
    <cellStyle name="Heading 2 2" xfId="77" xr:uid="{00000000-0005-0000-0000-000041000000}"/>
    <cellStyle name="Heading 3" xfId="36" builtinId="18" customBuiltin="1"/>
    <cellStyle name="Heading 3 2" xfId="78" xr:uid="{00000000-0005-0000-0000-000043000000}"/>
    <cellStyle name="Heading 4" xfId="37" builtinId="19" customBuiltin="1"/>
    <cellStyle name="Heading 4 2" xfId="79" xr:uid="{00000000-0005-0000-0000-000045000000}"/>
    <cellStyle name="Hyperlink" xfId="89" builtinId="8"/>
    <cellStyle name="Input" xfId="38" builtinId="20" customBuiltin="1"/>
    <cellStyle name="Input 2" xfId="80" xr:uid="{00000000-0005-0000-0000-000048000000}"/>
    <cellStyle name="Linked Cell" xfId="39" builtinId="24" customBuiltin="1"/>
    <cellStyle name="Linked Cell 2" xfId="81" xr:uid="{00000000-0005-0000-0000-00004A000000}"/>
    <cellStyle name="Neutral" xfId="40" builtinId="28" customBuiltin="1"/>
    <cellStyle name="Neutral 2" xfId="82" xr:uid="{00000000-0005-0000-0000-00004C000000}"/>
    <cellStyle name="Normal" xfId="0" builtinId="0"/>
    <cellStyle name="Normal 2" xfId="46" xr:uid="{00000000-0005-0000-0000-00004E000000}"/>
    <cellStyle name="Note" xfId="41" builtinId="10" customBuiltin="1"/>
    <cellStyle name="Note 2" xfId="83" xr:uid="{00000000-0005-0000-0000-000050000000}"/>
    <cellStyle name="Output" xfId="42" builtinId="21" customBuiltin="1"/>
    <cellStyle name="Output 2" xfId="84" xr:uid="{00000000-0005-0000-0000-000052000000}"/>
    <cellStyle name="Percent" xfId="88" builtinId="5"/>
    <cellStyle name="Title" xfId="43" builtinId="15" customBuiltin="1"/>
    <cellStyle name="Title 2" xfId="85" xr:uid="{00000000-0005-0000-0000-000055000000}"/>
    <cellStyle name="Total" xfId="44" builtinId="25" customBuiltin="1"/>
    <cellStyle name="Total 2" xfId="86" xr:uid="{00000000-0005-0000-0000-000057000000}"/>
    <cellStyle name="Warning Text" xfId="45" builtinId="11" customBuiltin="1"/>
    <cellStyle name="Warning Text 2" xfId="87" xr:uid="{00000000-0005-0000-0000-000059000000}"/>
  </cellStyles>
  <dxfs count="0"/>
  <tableStyles count="0" defaultTableStyle="TableStyleMedium9" defaultPivotStyle="PivotStyleLight16"/>
  <colors>
    <mruColors>
      <color rgb="FF0000FF"/>
      <color rgb="FFFFFFCC"/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Property Tax Obligations </a:t>
            </a:r>
          </a:p>
        </c:rich>
      </c:tx>
      <c:layout>
        <c:manualLayout>
          <c:xMode val="edge"/>
          <c:yMode val="edge"/>
          <c:x val="0.427665619977571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358945764107461E-2"/>
          <c:y val="8.5656849633110169E-2"/>
          <c:w val="0.89137868487717953"/>
          <c:h val="0.886193690414292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601864876072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0-4277-86BC-F50C62F1A01C}"/>
                </c:ext>
              </c:extLst>
            </c:dLbl>
            <c:dLbl>
              <c:idx val="2"/>
              <c:layout>
                <c:manualLayout>
                  <c:x val="-2.4279904713726962E-3"/>
                  <c:y val="1.343524955215053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0-4277-86BC-F50C62F1A01C}"/>
                </c:ext>
              </c:extLst>
            </c:dLbl>
            <c:dLbl>
              <c:idx val="3"/>
              <c:layout>
                <c:manualLayout>
                  <c:x val="-1.5124476342710878E-3"/>
                  <c:y val="-1.70614234082621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0-4277-86BC-F50C62F1A01C}"/>
                </c:ext>
              </c:extLst>
            </c:dLbl>
            <c:dLbl>
              <c:idx val="4"/>
              <c:layout>
                <c:manualLayout>
                  <c:x val="-1.05342049930675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0-4277-86BC-F50C62F1A01C}"/>
                </c:ext>
              </c:extLst>
            </c:dLbl>
            <c:dLbl>
              <c:idx val="5"/>
              <c:layout>
                <c:manualLayout>
                  <c:x val="-2.3051814061298779E-3"/>
                  <c:y val="1.343524955684273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0-4277-86BC-F50C62F1A01C}"/>
                </c:ext>
              </c:extLst>
            </c:dLbl>
            <c:dLbl>
              <c:idx val="7"/>
              <c:layout>
                <c:manualLayout>
                  <c:x val="-2.8745232280224962E-3"/>
                  <c:y val="1.343524955684273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0-4277-86BC-F50C62F1A01C}"/>
                </c:ext>
              </c:extLst>
            </c:dLbl>
            <c:dLbl>
              <c:idx val="8"/>
              <c:layout>
                <c:manualLayout>
                  <c:x val="3.1499646233293399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0-4277-86BC-F50C62F1A01C}"/>
                </c:ext>
              </c:extLst>
            </c:dLbl>
            <c:dLbl>
              <c:idx val="9"/>
              <c:layout>
                <c:manualLayout>
                  <c:x val="-1.6776371284704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0-4277-86BC-F50C62F1A01C}"/>
                </c:ext>
              </c:extLst>
            </c:dLbl>
            <c:dLbl>
              <c:idx val="10"/>
              <c:layout>
                <c:manualLayout>
                  <c:x val="1.4258659875584874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50-4277-86BC-F50C62F1A01C}"/>
                </c:ext>
              </c:extLst>
            </c:dLbl>
            <c:dLbl>
              <c:idx val="13"/>
              <c:layout>
                <c:manualLayout>
                  <c:x val="-4.8238346025594552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0-4277-86BC-F50C62F1A01C}"/>
                </c:ext>
              </c:extLst>
            </c:dLbl>
            <c:dLbl>
              <c:idx val="14"/>
              <c:layout>
                <c:manualLayout>
                  <c:x val="-8.3323062619501036E-4"/>
                  <c:y val="1.343524955371459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50-4277-86BC-F50C62F1A01C}"/>
                </c:ext>
              </c:extLst>
            </c:dLbl>
            <c:dLbl>
              <c:idx val="15"/>
              <c:layout>
                <c:manualLayout>
                  <c:x val="4.2681800895741649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50-4277-86BC-F50C62F1A01C}"/>
                </c:ext>
              </c:extLst>
            </c:dLbl>
            <c:dLbl>
              <c:idx val="16"/>
              <c:layout>
                <c:manualLayout>
                  <c:x val="2.49272265248996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50-4277-86BC-F50C62F1A01C}"/>
                </c:ext>
              </c:extLst>
            </c:dLbl>
            <c:dLbl>
              <c:idx val="17"/>
              <c:layout>
                <c:manualLayout>
                  <c:x val="-3.5850703606160115E-5"/>
                  <c:y val="6.256275602483468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50-4277-86BC-F50C62F1A01C}"/>
                </c:ext>
              </c:extLst>
            </c:dLbl>
            <c:dLbl>
              <c:idx val="19"/>
              <c:layout>
                <c:manualLayout>
                  <c:x val="-3.5850703606160115E-5"/>
                  <c:y val="1.251255120496693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50-4277-86BC-F50C62F1A01C}"/>
                </c:ext>
              </c:extLst>
            </c:dLbl>
            <c:dLbl>
              <c:idx val="20"/>
              <c:layout>
                <c:manualLayout>
                  <c:x val="-2.4662270361645698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50-4277-86BC-F50C62F1A01C}"/>
                </c:ext>
              </c:extLst>
            </c:dLbl>
            <c:dLbl>
              <c:idx val="21"/>
              <c:layout>
                <c:manualLayout>
                  <c:x val="-3.5850703606145498E-5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50-4277-86BC-F50C62F1A01C}"/>
                </c:ext>
              </c:extLst>
            </c:dLbl>
            <c:dLbl>
              <c:idx val="22"/>
              <c:layout>
                <c:manualLayout>
                  <c:x val="2.1497237141354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50-4277-86BC-F50C62F1A01C}"/>
                </c:ext>
              </c:extLst>
            </c:dLbl>
            <c:dLbl>
              <c:idx val="23"/>
              <c:layout>
                <c:manualLayout>
                  <c:x val="1.55890914157151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50-4277-86BC-F50C62F1A01C}"/>
                </c:ext>
              </c:extLst>
            </c:dLbl>
            <c:dLbl>
              <c:idx val="24"/>
              <c:layout>
                <c:manualLayout>
                  <c:x val="2.18821142220996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50-4277-86BC-F50C62F1A01C}"/>
                </c:ext>
              </c:extLst>
            </c:dLbl>
            <c:dLbl>
              <c:idx val="25"/>
              <c:layout>
                <c:manualLayout>
                  <c:x val="3.1499646233293399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50-4277-86BC-F50C62F1A01C}"/>
                </c:ext>
              </c:extLst>
            </c:dLbl>
            <c:dLbl>
              <c:idx val="26"/>
              <c:layout>
                <c:manualLayout>
                  <c:x val="1.90975630751063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50-4277-86BC-F50C62F1A01C}"/>
                </c:ext>
              </c:extLst>
            </c:dLbl>
            <c:dLbl>
              <c:idx val="27"/>
              <c:layout>
                <c:manualLayout>
                  <c:x val="4.6840105799130557E-3"/>
                  <c:y val="1.343524956622714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50-4277-86BC-F50C62F1A01C}"/>
                </c:ext>
              </c:extLst>
            </c:dLbl>
            <c:dLbl>
              <c:idx val="28"/>
              <c:layout>
                <c:manualLayout>
                  <c:x val="1.5555187072550209E-3"/>
                  <c:y val="1.343524955371459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50-4277-86BC-F50C62F1A01C}"/>
                </c:ext>
              </c:extLst>
            </c:dLbl>
            <c:dLbl>
              <c:idx val="29"/>
              <c:layout>
                <c:manualLayout>
                  <c:x val="1.55890914157155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050-4277-86BC-F50C62F1A01C}"/>
                </c:ext>
              </c:extLst>
            </c:dLbl>
            <c:dLbl>
              <c:idx val="30"/>
              <c:layout>
                <c:manualLayout>
                  <c:x val="3.6165888425954934E-3"/>
                  <c:y val="1.343524956622714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050-4277-86BC-F50C62F1A01C}"/>
                </c:ext>
              </c:extLst>
            </c:dLbl>
            <c:dLbl>
              <c:idx val="31"/>
              <c:layout>
                <c:manualLayout>
                  <c:x val="8.2745433069279198E-4"/>
                  <c:y val="1.251255120496693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050-4277-86BC-F50C62F1A01C}"/>
                </c:ext>
              </c:extLst>
            </c:dLbl>
            <c:dLbl>
              <c:idx val="32"/>
              <c:layout>
                <c:manualLayout>
                  <c:x val="7.61529218982690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050-4277-86BC-F50C62F1A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1 &amp; 2'!$A$93:$A$125</c:f>
              <c:strCache>
                <c:ptCount val="33"/>
                <c:pt idx="0">
                  <c:v>Bernalillo</c:v>
                </c:pt>
                <c:pt idx="1">
                  <c:v>Catron</c:v>
                </c:pt>
                <c:pt idx="2">
                  <c:v>Chaves</c:v>
                </c:pt>
                <c:pt idx="3">
                  <c:v>Cibola</c:v>
                </c:pt>
                <c:pt idx="4">
                  <c:v>Colfax</c:v>
                </c:pt>
                <c:pt idx="5">
                  <c:v>Curry</c:v>
                </c:pt>
                <c:pt idx="6">
                  <c:v>De Baca</c:v>
                </c:pt>
                <c:pt idx="7">
                  <c:v>Dona Ana</c:v>
                </c:pt>
                <c:pt idx="8">
                  <c:v>Eddy</c:v>
                </c:pt>
                <c:pt idx="9">
                  <c:v>Grant</c:v>
                </c:pt>
                <c:pt idx="10">
                  <c:v>Guadalupe</c:v>
                </c:pt>
                <c:pt idx="11">
                  <c:v>Harding</c:v>
                </c:pt>
                <c:pt idx="12">
                  <c:v>Hidalgo</c:v>
                </c:pt>
                <c:pt idx="13">
                  <c:v>Lea</c:v>
                </c:pt>
                <c:pt idx="14">
                  <c:v>Lincoln</c:v>
                </c:pt>
                <c:pt idx="15">
                  <c:v>Los Alamos</c:v>
                </c:pt>
                <c:pt idx="16">
                  <c:v>Luna</c:v>
                </c:pt>
                <c:pt idx="17">
                  <c:v>McKinley</c:v>
                </c:pt>
                <c:pt idx="18">
                  <c:v>Mora</c:v>
                </c:pt>
                <c:pt idx="19">
                  <c:v>Otero</c:v>
                </c:pt>
                <c:pt idx="20">
                  <c:v>Quay</c:v>
                </c:pt>
                <c:pt idx="21">
                  <c:v>Rio Arriba</c:v>
                </c:pt>
                <c:pt idx="22">
                  <c:v>Roosevelt</c:v>
                </c:pt>
                <c:pt idx="23">
                  <c:v>San Juan</c:v>
                </c:pt>
                <c:pt idx="24">
                  <c:v>San Miguel</c:v>
                </c:pt>
                <c:pt idx="25">
                  <c:v>Sandoval</c:v>
                </c:pt>
                <c:pt idx="26">
                  <c:v>Santa Fe</c:v>
                </c:pt>
                <c:pt idx="27">
                  <c:v>Sierra</c:v>
                </c:pt>
                <c:pt idx="28">
                  <c:v>Socorro</c:v>
                </c:pt>
                <c:pt idx="29">
                  <c:v>Taos</c:v>
                </c:pt>
                <c:pt idx="30">
                  <c:v>Torrance</c:v>
                </c:pt>
                <c:pt idx="31">
                  <c:v>Union</c:v>
                </c:pt>
                <c:pt idx="32">
                  <c:v>Valencia</c:v>
                </c:pt>
              </c:strCache>
            </c:strRef>
          </c:cat>
          <c:val>
            <c:numRef>
              <c:f>'table 1 &amp; 2'!$B$93:$B$125</c:f>
              <c:numCache>
                <c:formatCode>#,##0</c:formatCode>
                <c:ptCount val="33"/>
                <c:pt idx="0">
                  <c:v>811106.02620230406</c:v>
                </c:pt>
                <c:pt idx="1">
                  <c:v>2602.3651716620002</c:v>
                </c:pt>
                <c:pt idx="2">
                  <c:v>38422.615632197005</c:v>
                </c:pt>
                <c:pt idx="3">
                  <c:v>12792.782596203997</c:v>
                </c:pt>
                <c:pt idx="4">
                  <c:v>18094.557867081003</c:v>
                </c:pt>
                <c:pt idx="5">
                  <c:v>23921.582120488001</c:v>
                </c:pt>
                <c:pt idx="6">
                  <c:v>2240.0591670380004</c:v>
                </c:pt>
                <c:pt idx="7">
                  <c:v>160001.854497097</c:v>
                </c:pt>
                <c:pt idx="8">
                  <c:v>296625.42833599698</c:v>
                </c:pt>
                <c:pt idx="9">
                  <c:v>15813.661315159001</c:v>
                </c:pt>
                <c:pt idx="10">
                  <c:v>5173.7893986140007</c:v>
                </c:pt>
                <c:pt idx="11">
                  <c:v>1912.4427226350006</c:v>
                </c:pt>
                <c:pt idx="12">
                  <c:v>3992.6502098160004</c:v>
                </c:pt>
                <c:pt idx="13">
                  <c:v>375664.22990160197</c:v>
                </c:pt>
                <c:pt idx="14">
                  <c:v>35583.527761836995</c:v>
                </c:pt>
                <c:pt idx="15">
                  <c:v>22773.758451458001</c:v>
                </c:pt>
                <c:pt idx="16">
                  <c:v>14868.774893531001</c:v>
                </c:pt>
                <c:pt idx="17">
                  <c:v>26796.056050824005</c:v>
                </c:pt>
                <c:pt idx="18">
                  <c:v>3396.629943546</c:v>
                </c:pt>
                <c:pt idx="19">
                  <c:v>33450.135589468999</c:v>
                </c:pt>
                <c:pt idx="20">
                  <c:v>6825.1967863389991</c:v>
                </c:pt>
                <c:pt idx="21">
                  <c:v>35509.787880669996</c:v>
                </c:pt>
                <c:pt idx="22">
                  <c:v>14565.842942387002</c:v>
                </c:pt>
                <c:pt idx="23">
                  <c:v>99960.955233942004</c:v>
                </c:pt>
                <c:pt idx="24">
                  <c:v>17340.110747581002</c:v>
                </c:pt>
                <c:pt idx="25">
                  <c:v>158074.57468153501</c:v>
                </c:pt>
                <c:pt idx="26">
                  <c:v>213741.85338964802</c:v>
                </c:pt>
                <c:pt idx="27">
                  <c:v>8522.5618585280008</c:v>
                </c:pt>
                <c:pt idx="28">
                  <c:v>10810.390971453</c:v>
                </c:pt>
                <c:pt idx="29">
                  <c:v>34905.915121657999</c:v>
                </c:pt>
                <c:pt idx="30">
                  <c:v>11422.830747809001</c:v>
                </c:pt>
                <c:pt idx="31">
                  <c:v>4166.8233469240004</c:v>
                </c:pt>
                <c:pt idx="32">
                  <c:v>58056.219973845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050-4277-86BC-F50C62F1A0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2142400"/>
        <c:axId val="172141840"/>
      </c:barChart>
      <c:valAx>
        <c:axId val="1721418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42400"/>
        <c:crosses val="autoZero"/>
        <c:crossBetween val="between"/>
      </c:valAx>
      <c:catAx>
        <c:axId val="172142400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41840"/>
        <c:crosses val="autoZero"/>
        <c:auto val="0"/>
        <c:lblAlgn val="l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Taxable Values 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1 &amp; 2'!$A$9:$A$41</c:f>
              <c:strCache>
                <c:ptCount val="33"/>
                <c:pt idx="0">
                  <c:v>Bernalillo</c:v>
                </c:pt>
                <c:pt idx="1">
                  <c:v>Catron</c:v>
                </c:pt>
                <c:pt idx="2">
                  <c:v>Chaves</c:v>
                </c:pt>
                <c:pt idx="3">
                  <c:v>Cibola</c:v>
                </c:pt>
                <c:pt idx="4">
                  <c:v>Colfax</c:v>
                </c:pt>
                <c:pt idx="5">
                  <c:v>Curry</c:v>
                </c:pt>
                <c:pt idx="6">
                  <c:v>De Baca</c:v>
                </c:pt>
                <c:pt idx="7">
                  <c:v>Dona Ana</c:v>
                </c:pt>
                <c:pt idx="8">
                  <c:v>Eddy</c:v>
                </c:pt>
                <c:pt idx="9">
                  <c:v>Grant</c:v>
                </c:pt>
                <c:pt idx="10">
                  <c:v>Guadalupe</c:v>
                </c:pt>
                <c:pt idx="11">
                  <c:v>Harding</c:v>
                </c:pt>
                <c:pt idx="12">
                  <c:v>Hidalgo</c:v>
                </c:pt>
                <c:pt idx="13">
                  <c:v>Lea</c:v>
                </c:pt>
                <c:pt idx="14">
                  <c:v>Lincoln</c:v>
                </c:pt>
                <c:pt idx="15">
                  <c:v>Los Alamos</c:v>
                </c:pt>
                <c:pt idx="16">
                  <c:v>Luna</c:v>
                </c:pt>
                <c:pt idx="17">
                  <c:v>McKinley</c:v>
                </c:pt>
                <c:pt idx="18">
                  <c:v>Mora</c:v>
                </c:pt>
                <c:pt idx="19">
                  <c:v>Otero</c:v>
                </c:pt>
                <c:pt idx="20">
                  <c:v>Quay</c:v>
                </c:pt>
                <c:pt idx="21">
                  <c:v>Rio Arriba</c:v>
                </c:pt>
                <c:pt idx="22">
                  <c:v>Roosevelt</c:v>
                </c:pt>
                <c:pt idx="23">
                  <c:v>San Juan</c:v>
                </c:pt>
                <c:pt idx="24">
                  <c:v>San Miguel</c:v>
                </c:pt>
                <c:pt idx="25">
                  <c:v>Sandoval</c:v>
                </c:pt>
                <c:pt idx="26">
                  <c:v>Santa Fe</c:v>
                </c:pt>
                <c:pt idx="27">
                  <c:v>Sierra</c:v>
                </c:pt>
                <c:pt idx="28">
                  <c:v>Socorro</c:v>
                </c:pt>
                <c:pt idx="29">
                  <c:v>Taos</c:v>
                </c:pt>
                <c:pt idx="30">
                  <c:v>Torrance</c:v>
                </c:pt>
                <c:pt idx="31">
                  <c:v>Union</c:v>
                </c:pt>
                <c:pt idx="32">
                  <c:v>Valencia</c:v>
                </c:pt>
              </c:strCache>
            </c:strRef>
          </c:cat>
          <c:val>
            <c:numRef>
              <c:f>'table 1 &amp; 2'!$B$9:$B$41</c:f>
              <c:numCache>
                <c:formatCode>"$"#,##0</c:formatCode>
                <c:ptCount val="33"/>
                <c:pt idx="0">
                  <c:v>19184705799</c:v>
                </c:pt>
                <c:pt idx="1">
                  <c:v>145165440</c:v>
                </c:pt>
                <c:pt idx="2">
                  <c:v>1472643117</c:v>
                </c:pt>
                <c:pt idx="3">
                  <c:v>381141547</c:v>
                </c:pt>
                <c:pt idx="4">
                  <c:v>696642835</c:v>
                </c:pt>
                <c:pt idx="5">
                  <c:v>1007854136</c:v>
                </c:pt>
                <c:pt idx="6">
                  <c:v>97735982</c:v>
                </c:pt>
                <c:pt idx="7">
                  <c:v>5209506961</c:v>
                </c:pt>
                <c:pt idx="8">
                  <c:v>13636209950</c:v>
                </c:pt>
                <c:pt idx="9">
                  <c:v>829059547</c:v>
                </c:pt>
                <c:pt idx="10">
                  <c:v>188618260</c:v>
                </c:pt>
                <c:pt idx="11">
                  <c:v>76493842</c:v>
                </c:pt>
                <c:pt idx="12">
                  <c:v>187495008</c:v>
                </c:pt>
                <c:pt idx="13">
                  <c:v>15189711511</c:v>
                </c:pt>
                <c:pt idx="14">
                  <c:v>1515805900</c:v>
                </c:pt>
                <c:pt idx="15">
                  <c:v>921400832</c:v>
                </c:pt>
                <c:pt idx="16">
                  <c:v>643478227</c:v>
                </c:pt>
                <c:pt idx="17">
                  <c:v>744939419</c:v>
                </c:pt>
                <c:pt idx="18">
                  <c:v>159220978</c:v>
                </c:pt>
                <c:pt idx="19">
                  <c:v>1366466217</c:v>
                </c:pt>
                <c:pt idx="20">
                  <c:v>252914972</c:v>
                </c:pt>
                <c:pt idx="21">
                  <c:v>1383748861</c:v>
                </c:pt>
                <c:pt idx="22">
                  <c:v>654334597</c:v>
                </c:pt>
                <c:pt idx="23">
                  <c:v>3888138776</c:v>
                </c:pt>
                <c:pt idx="24">
                  <c:v>691093208</c:v>
                </c:pt>
                <c:pt idx="25">
                  <c:v>4559960857</c:v>
                </c:pt>
                <c:pt idx="26">
                  <c:v>8678909160</c:v>
                </c:pt>
                <c:pt idx="27">
                  <c:v>351936213</c:v>
                </c:pt>
                <c:pt idx="28">
                  <c:v>321242644</c:v>
                </c:pt>
                <c:pt idx="29">
                  <c:v>1665492477</c:v>
                </c:pt>
                <c:pt idx="30">
                  <c:v>496506454</c:v>
                </c:pt>
                <c:pt idx="31">
                  <c:v>176102033</c:v>
                </c:pt>
                <c:pt idx="32">
                  <c:v>1742886866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5-4C55-ABD2-5D19E6612D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72145200"/>
        <c:axId val="172362928"/>
        <c:axId val="0"/>
      </c:bar3DChart>
      <c:catAx>
        <c:axId val="172145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72362928"/>
        <c:crosses val="autoZero"/>
        <c:auto val="1"/>
        <c:lblAlgn val="ctr"/>
        <c:lblOffset val="100"/>
        <c:noMultiLvlLbl val="0"/>
      </c:catAx>
      <c:valAx>
        <c:axId val="172362928"/>
        <c:scaling>
          <c:orientation val="minMax"/>
        </c:scaling>
        <c:delete val="0"/>
        <c:axPos val="t"/>
        <c:majorGridlines/>
        <c:numFmt formatCode="&quot;$&quot;#,##0" sourceLinked="1"/>
        <c:majorTickMark val="none"/>
        <c:minorTickMark val="none"/>
        <c:tickLblPos val="nextTo"/>
        <c:crossAx val="172145200"/>
        <c:crosses val="autoZero"/>
        <c:crossBetween val="between"/>
        <c:dispUnits>
          <c:builtInUnit val="thousands"/>
          <c:dispUnitsLbl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80014893681466"/>
          <c:y val="0.20533671593189889"/>
          <c:w val="0.72599551010322194"/>
          <c:h val="0.53378177326764631"/>
        </c:manualLayout>
      </c:layout>
      <c:barChart>
        <c:barDir val="col"/>
        <c:grouping val="clustered"/>
        <c:varyColors val="0"/>
        <c:ser>
          <c:idx val="0"/>
          <c:order val="0"/>
          <c:tx>
            <c:v>Imposed Operating Rate in Mills</c:v>
          </c:tx>
          <c:invertIfNegative val="0"/>
          <c:cat>
            <c:strRef>
              <c:f>'Table 8'!$B$9:$B$41</c:f>
              <c:strCache>
                <c:ptCount val="33"/>
                <c:pt idx="0">
                  <c:v>Bernalillo</c:v>
                </c:pt>
                <c:pt idx="1">
                  <c:v>Catron</c:v>
                </c:pt>
                <c:pt idx="2">
                  <c:v>Chaves</c:v>
                </c:pt>
                <c:pt idx="3">
                  <c:v>Cibola</c:v>
                </c:pt>
                <c:pt idx="4">
                  <c:v>Colfax</c:v>
                </c:pt>
                <c:pt idx="5">
                  <c:v>Curry</c:v>
                </c:pt>
                <c:pt idx="6">
                  <c:v>De Baca</c:v>
                </c:pt>
                <c:pt idx="7">
                  <c:v>Dona Ana</c:v>
                </c:pt>
                <c:pt idx="8">
                  <c:v>Eddy</c:v>
                </c:pt>
                <c:pt idx="9">
                  <c:v>Grant</c:v>
                </c:pt>
                <c:pt idx="10">
                  <c:v>Guadalupe</c:v>
                </c:pt>
                <c:pt idx="11">
                  <c:v>Harding</c:v>
                </c:pt>
                <c:pt idx="12">
                  <c:v>Hidalgo</c:v>
                </c:pt>
                <c:pt idx="13">
                  <c:v>Lea</c:v>
                </c:pt>
                <c:pt idx="14">
                  <c:v>Lincoln</c:v>
                </c:pt>
                <c:pt idx="15">
                  <c:v>Los Alamos</c:v>
                </c:pt>
                <c:pt idx="16">
                  <c:v>Luna</c:v>
                </c:pt>
                <c:pt idx="17">
                  <c:v>McKinley</c:v>
                </c:pt>
                <c:pt idx="18">
                  <c:v>Mora</c:v>
                </c:pt>
                <c:pt idx="19">
                  <c:v>Otero</c:v>
                </c:pt>
                <c:pt idx="20">
                  <c:v>Quay</c:v>
                </c:pt>
                <c:pt idx="21">
                  <c:v>Rio Arriba</c:v>
                </c:pt>
                <c:pt idx="22">
                  <c:v>Roosevelt</c:v>
                </c:pt>
                <c:pt idx="23">
                  <c:v>San Juan</c:v>
                </c:pt>
                <c:pt idx="24">
                  <c:v>San Miguel</c:v>
                </c:pt>
                <c:pt idx="25">
                  <c:v>Sandoval</c:v>
                </c:pt>
                <c:pt idx="26">
                  <c:v>Santa Fe</c:v>
                </c:pt>
                <c:pt idx="27">
                  <c:v>Sierra</c:v>
                </c:pt>
                <c:pt idx="28">
                  <c:v>Socorro</c:v>
                </c:pt>
                <c:pt idx="29">
                  <c:v>Taos</c:v>
                </c:pt>
                <c:pt idx="30">
                  <c:v>Torrance</c:v>
                </c:pt>
                <c:pt idx="31">
                  <c:v>Union</c:v>
                </c:pt>
                <c:pt idx="32">
                  <c:v>Valencia</c:v>
                </c:pt>
              </c:strCache>
            </c:strRef>
          </c:cat>
          <c:val>
            <c:numRef>
              <c:f>'Table 8'!$F$9:$F$41</c:f>
              <c:numCache>
                <c:formatCode>#,##0.000</c:formatCode>
                <c:ptCount val="33"/>
                <c:pt idx="0">
                  <c:v>10.75</c:v>
                </c:pt>
                <c:pt idx="1">
                  <c:v>11.85</c:v>
                </c:pt>
                <c:pt idx="2">
                  <c:v>10.35</c:v>
                </c:pt>
                <c:pt idx="3">
                  <c:v>11.85</c:v>
                </c:pt>
                <c:pt idx="4">
                  <c:v>11.85</c:v>
                </c:pt>
                <c:pt idx="5">
                  <c:v>9.85</c:v>
                </c:pt>
                <c:pt idx="6">
                  <c:v>11.85</c:v>
                </c:pt>
                <c:pt idx="7">
                  <c:v>11.85</c:v>
                </c:pt>
                <c:pt idx="8">
                  <c:v>7.5</c:v>
                </c:pt>
                <c:pt idx="9">
                  <c:v>11.85</c:v>
                </c:pt>
                <c:pt idx="10">
                  <c:v>11.85</c:v>
                </c:pt>
                <c:pt idx="11">
                  <c:v>10.85</c:v>
                </c:pt>
                <c:pt idx="12">
                  <c:v>11.85</c:v>
                </c:pt>
                <c:pt idx="13">
                  <c:v>10.6</c:v>
                </c:pt>
                <c:pt idx="14">
                  <c:v>11.6</c:v>
                </c:pt>
                <c:pt idx="15">
                  <c:v>8.85</c:v>
                </c:pt>
                <c:pt idx="16">
                  <c:v>11.85</c:v>
                </c:pt>
                <c:pt idx="17">
                  <c:v>11.85</c:v>
                </c:pt>
                <c:pt idx="18">
                  <c:v>11.85</c:v>
                </c:pt>
                <c:pt idx="19">
                  <c:v>11.85</c:v>
                </c:pt>
                <c:pt idx="20">
                  <c:v>11.85</c:v>
                </c:pt>
                <c:pt idx="21">
                  <c:v>11.85</c:v>
                </c:pt>
                <c:pt idx="22">
                  <c:v>11.85</c:v>
                </c:pt>
                <c:pt idx="23">
                  <c:v>8.5</c:v>
                </c:pt>
                <c:pt idx="24">
                  <c:v>11.85</c:v>
                </c:pt>
                <c:pt idx="25">
                  <c:v>10.35</c:v>
                </c:pt>
                <c:pt idx="26">
                  <c:v>11.85</c:v>
                </c:pt>
                <c:pt idx="27">
                  <c:v>11.85</c:v>
                </c:pt>
                <c:pt idx="28">
                  <c:v>11.85</c:v>
                </c:pt>
                <c:pt idx="29">
                  <c:v>11.85</c:v>
                </c:pt>
                <c:pt idx="30">
                  <c:v>11.85</c:v>
                </c:pt>
                <c:pt idx="31">
                  <c:v>9.15</c:v>
                </c:pt>
                <c:pt idx="32">
                  <c:v>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7-496F-9040-508B6431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65728"/>
        <c:axId val="172366288"/>
      </c:barChart>
      <c:catAx>
        <c:axId val="17236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72366288"/>
        <c:crosses val="autoZero"/>
        <c:auto val="0"/>
        <c:lblAlgn val="ctr"/>
        <c:lblOffset val="100"/>
        <c:tickLblSkip val="1"/>
        <c:noMultiLvlLbl val="0"/>
      </c:catAx>
      <c:valAx>
        <c:axId val="172366288"/>
        <c:scaling>
          <c:orientation val="minMax"/>
          <c:max val="12"/>
          <c:min val="7"/>
        </c:scaling>
        <c:delete val="0"/>
        <c:axPos val="l"/>
        <c:majorGridlines/>
        <c:numFmt formatCode="#,##0.000" sourceLinked="1"/>
        <c:majorTickMark val="out"/>
        <c:minorTickMark val="none"/>
        <c:tickLblPos val="nextTo"/>
        <c:crossAx val="17236572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83878498474598751"/>
          <c:y val="0.25224851572697798"/>
          <c:w val="0.1479506565857541"/>
          <c:h val="0.59788692857243109"/>
        </c:manualLayout>
      </c:layout>
      <c:overlay val="0"/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19'!$B$11:$B$64</c:f>
              <c:strCache>
                <c:ptCount val="54"/>
                <c:pt idx="0">
                  <c:v>Alamogordo</c:v>
                </c:pt>
                <c:pt idx="1">
                  <c:v>Albuquerque</c:v>
                </c:pt>
                <c:pt idx="2">
                  <c:v>Angel Fire</c:v>
                </c:pt>
                <c:pt idx="3">
                  <c:v>Anthony</c:v>
                </c:pt>
                <c:pt idx="4">
                  <c:v>Artesia</c:v>
                </c:pt>
                <c:pt idx="5">
                  <c:v>Aztec</c:v>
                </c:pt>
                <c:pt idx="6">
                  <c:v>Bayard</c:v>
                </c:pt>
                <c:pt idx="7">
                  <c:v>Belen</c:v>
                </c:pt>
                <c:pt idx="8">
                  <c:v>Bernalillo</c:v>
                </c:pt>
                <c:pt idx="9">
                  <c:v>Bloomfield</c:v>
                </c:pt>
                <c:pt idx="10">
                  <c:v>Bosque Farms</c:v>
                </c:pt>
                <c:pt idx="11">
                  <c:v>Capitan</c:v>
                </c:pt>
                <c:pt idx="12">
                  <c:v>Carlsbad</c:v>
                </c:pt>
                <c:pt idx="13">
                  <c:v>Carrizozo</c:v>
                </c:pt>
                <c:pt idx="14">
                  <c:v>Causey</c:v>
                </c:pt>
                <c:pt idx="15">
                  <c:v>Chama</c:v>
                </c:pt>
                <c:pt idx="16">
                  <c:v>Cimarron</c:v>
                </c:pt>
                <c:pt idx="17">
                  <c:v>Clayton</c:v>
                </c:pt>
                <c:pt idx="18">
                  <c:v>Cloudcroft</c:v>
                </c:pt>
                <c:pt idx="19">
                  <c:v>Clovis</c:v>
                </c:pt>
                <c:pt idx="20">
                  <c:v>Columbus</c:v>
                </c:pt>
                <c:pt idx="21">
                  <c:v>Corona</c:v>
                </c:pt>
                <c:pt idx="22">
                  <c:v>Corrales</c:v>
                </c:pt>
                <c:pt idx="23">
                  <c:v>Cuba</c:v>
                </c:pt>
                <c:pt idx="24">
                  <c:v>Deming</c:v>
                </c:pt>
                <c:pt idx="25">
                  <c:v>Des Moines</c:v>
                </c:pt>
                <c:pt idx="26">
                  <c:v>Dexter</c:v>
                </c:pt>
                <c:pt idx="27">
                  <c:v>Dora</c:v>
                </c:pt>
                <c:pt idx="28">
                  <c:v>Eagle Nest</c:v>
                </c:pt>
                <c:pt idx="29">
                  <c:v>Edgewood</c:v>
                </c:pt>
                <c:pt idx="30">
                  <c:v>Elephant Butte</c:v>
                </c:pt>
                <c:pt idx="31">
                  <c:v>Elida</c:v>
                </c:pt>
                <c:pt idx="32">
                  <c:v>Encino</c:v>
                </c:pt>
                <c:pt idx="33">
                  <c:v>Espanola</c:v>
                </c:pt>
                <c:pt idx="34">
                  <c:v>Estancia</c:v>
                </c:pt>
                <c:pt idx="35">
                  <c:v>Eunice</c:v>
                </c:pt>
                <c:pt idx="36">
                  <c:v>Farmington</c:v>
                </c:pt>
                <c:pt idx="37">
                  <c:v>Floyd</c:v>
                </c:pt>
                <c:pt idx="38">
                  <c:v>Folsom</c:v>
                </c:pt>
                <c:pt idx="39">
                  <c:v>Fort Sumner</c:v>
                </c:pt>
                <c:pt idx="40">
                  <c:v>Gallup</c:v>
                </c:pt>
                <c:pt idx="41">
                  <c:v>Grady</c:v>
                </c:pt>
                <c:pt idx="42">
                  <c:v>Grants</c:v>
                </c:pt>
                <c:pt idx="43">
                  <c:v>Grenville</c:v>
                </c:pt>
                <c:pt idx="44">
                  <c:v>Hagerman</c:v>
                </c:pt>
                <c:pt idx="45">
                  <c:v>Hatch</c:v>
                </c:pt>
                <c:pt idx="46">
                  <c:v>Hobbs</c:v>
                </c:pt>
                <c:pt idx="47">
                  <c:v>Hope</c:v>
                </c:pt>
                <c:pt idx="48">
                  <c:v>House</c:v>
                </c:pt>
                <c:pt idx="49">
                  <c:v>Hurley</c:v>
                </c:pt>
                <c:pt idx="50">
                  <c:v>Jal</c:v>
                </c:pt>
                <c:pt idx="51">
                  <c:v>Jemez Springs</c:v>
                </c:pt>
                <c:pt idx="52">
                  <c:v>Kirtland*</c:v>
                </c:pt>
                <c:pt idx="53">
                  <c:v>Lake Arthur</c:v>
                </c:pt>
              </c:strCache>
            </c:strRef>
          </c:cat>
          <c:val>
            <c:numRef>
              <c:f>'Table 19'!$E$11:$E$64</c:f>
              <c:numCache>
                <c:formatCode>0.000</c:formatCode>
                <c:ptCount val="54"/>
                <c:pt idx="0">
                  <c:v>7.0640000000000001</c:v>
                </c:pt>
                <c:pt idx="1">
                  <c:v>6.5439999999999996</c:v>
                </c:pt>
                <c:pt idx="2">
                  <c:v>7.65</c:v>
                </c:pt>
                <c:pt idx="3">
                  <c:v>7.65</c:v>
                </c:pt>
                <c:pt idx="4">
                  <c:v>3.5</c:v>
                </c:pt>
                <c:pt idx="5">
                  <c:v>6.8730000000000002</c:v>
                </c:pt>
                <c:pt idx="6">
                  <c:v>5.2249999999999996</c:v>
                </c:pt>
                <c:pt idx="7">
                  <c:v>7.65</c:v>
                </c:pt>
                <c:pt idx="8">
                  <c:v>5.7249999999999996</c:v>
                </c:pt>
                <c:pt idx="9">
                  <c:v>7</c:v>
                </c:pt>
                <c:pt idx="10">
                  <c:v>4.2249999999999996</c:v>
                </c:pt>
                <c:pt idx="11">
                  <c:v>4.2249999999999996</c:v>
                </c:pt>
                <c:pt idx="12">
                  <c:v>6.2249999999999996</c:v>
                </c:pt>
                <c:pt idx="13">
                  <c:v>7.2249999999999996</c:v>
                </c:pt>
                <c:pt idx="14">
                  <c:v>2.2250000000000001</c:v>
                </c:pt>
                <c:pt idx="15">
                  <c:v>5.2249999999999996</c:v>
                </c:pt>
                <c:pt idx="16">
                  <c:v>7.65</c:v>
                </c:pt>
                <c:pt idx="17">
                  <c:v>4.9379999999999997</c:v>
                </c:pt>
                <c:pt idx="18">
                  <c:v>2.2250000000000001</c:v>
                </c:pt>
                <c:pt idx="19">
                  <c:v>4.7249999999999996</c:v>
                </c:pt>
                <c:pt idx="20">
                  <c:v>7.65</c:v>
                </c:pt>
                <c:pt idx="21">
                  <c:v>4.4249999999999998</c:v>
                </c:pt>
                <c:pt idx="22">
                  <c:v>6.87</c:v>
                </c:pt>
                <c:pt idx="23">
                  <c:v>7.65</c:v>
                </c:pt>
                <c:pt idx="24">
                  <c:v>4.4749999999999996</c:v>
                </c:pt>
                <c:pt idx="25">
                  <c:v>4.9379999999999997</c:v>
                </c:pt>
                <c:pt idx="26">
                  <c:v>2.2250000000000001</c:v>
                </c:pt>
                <c:pt idx="27">
                  <c:v>2.2250000000000001</c:v>
                </c:pt>
                <c:pt idx="28">
                  <c:v>3.2250000000000001</c:v>
                </c:pt>
                <c:pt idx="29">
                  <c:v>3</c:v>
                </c:pt>
                <c:pt idx="30">
                  <c:v>4.2249999999999996</c:v>
                </c:pt>
                <c:pt idx="31">
                  <c:v>2.2250000000000001</c:v>
                </c:pt>
                <c:pt idx="32">
                  <c:v>2.2250000000000001</c:v>
                </c:pt>
                <c:pt idx="33">
                  <c:v>7.65</c:v>
                </c:pt>
                <c:pt idx="34">
                  <c:v>2.75</c:v>
                </c:pt>
                <c:pt idx="35">
                  <c:v>7.65</c:v>
                </c:pt>
                <c:pt idx="36">
                  <c:v>2.2250000000000001</c:v>
                </c:pt>
                <c:pt idx="37">
                  <c:v>2.2250000000000001</c:v>
                </c:pt>
                <c:pt idx="38">
                  <c:v>5.4249999999999998</c:v>
                </c:pt>
                <c:pt idx="39">
                  <c:v>2.2250000000000001</c:v>
                </c:pt>
                <c:pt idx="40">
                  <c:v>7.65</c:v>
                </c:pt>
                <c:pt idx="41">
                  <c:v>7.65</c:v>
                </c:pt>
                <c:pt idx="42">
                  <c:v>4.5549999999999997</c:v>
                </c:pt>
                <c:pt idx="43">
                  <c:v>7.65</c:v>
                </c:pt>
                <c:pt idx="44">
                  <c:v>2.2250000000000001</c:v>
                </c:pt>
                <c:pt idx="45">
                  <c:v>5.5</c:v>
                </c:pt>
                <c:pt idx="46">
                  <c:v>5.5549999999999997</c:v>
                </c:pt>
                <c:pt idx="47">
                  <c:v>7.65</c:v>
                </c:pt>
                <c:pt idx="48">
                  <c:v>7.65</c:v>
                </c:pt>
                <c:pt idx="49">
                  <c:v>5.2249999999999996</c:v>
                </c:pt>
                <c:pt idx="50">
                  <c:v>7.65</c:v>
                </c:pt>
                <c:pt idx="51">
                  <c:v>5.95</c:v>
                </c:pt>
                <c:pt idx="52">
                  <c:v>0</c:v>
                </c:pt>
                <c:pt idx="53">
                  <c:v>2.2250000000000001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8-4644-A5EF-E775BA7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56448"/>
        <c:axId val="175857008"/>
      </c:barChart>
      <c:catAx>
        <c:axId val="17585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75857008"/>
        <c:crossesAt val="0"/>
        <c:auto val="0"/>
        <c:lblAlgn val="ctr"/>
        <c:lblOffset val="100"/>
        <c:tickLblSkip val="1"/>
        <c:noMultiLvlLbl val="0"/>
      </c:catAx>
      <c:valAx>
        <c:axId val="175857008"/>
        <c:scaling>
          <c:orientation val="minMax"/>
          <c:max val="8"/>
          <c:min val="2"/>
        </c:scaling>
        <c:delete val="0"/>
        <c:axPos val="l"/>
        <c:majorGridlines/>
        <c:numFmt formatCode="0.000" sourceLinked="1"/>
        <c:majorTickMark val="in"/>
        <c:minorTickMark val="none"/>
        <c:tickLblPos val="nextTo"/>
        <c:crossAx val="17585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19'!$H$11:$H$62</c:f>
              <c:strCache>
                <c:ptCount val="52"/>
                <c:pt idx="0">
                  <c:v>Las Cruces</c:v>
                </c:pt>
                <c:pt idx="1">
                  <c:v>Las Vegas</c:v>
                </c:pt>
                <c:pt idx="2">
                  <c:v>Logan</c:v>
                </c:pt>
                <c:pt idx="3">
                  <c:v>Lordsburg</c:v>
                </c:pt>
                <c:pt idx="4">
                  <c:v>Los Alamos</c:v>
                </c:pt>
                <c:pt idx="5">
                  <c:v>Los Lunas</c:v>
                </c:pt>
                <c:pt idx="6">
                  <c:v>Los Ranchos*</c:v>
                </c:pt>
                <c:pt idx="7">
                  <c:v>Loving</c:v>
                </c:pt>
                <c:pt idx="8">
                  <c:v>Lovington</c:v>
                </c:pt>
                <c:pt idx="9">
                  <c:v>Magdalena</c:v>
                </c:pt>
                <c:pt idx="10">
                  <c:v>Maxwell</c:v>
                </c:pt>
                <c:pt idx="11">
                  <c:v>Melrose</c:v>
                </c:pt>
                <c:pt idx="12">
                  <c:v>Mesilla</c:v>
                </c:pt>
                <c:pt idx="13">
                  <c:v>Milan</c:v>
                </c:pt>
                <c:pt idx="14">
                  <c:v>Moriarty</c:v>
                </c:pt>
                <c:pt idx="15">
                  <c:v>Mosquero</c:v>
                </c:pt>
                <c:pt idx="16">
                  <c:v>Mountainair</c:v>
                </c:pt>
                <c:pt idx="17">
                  <c:v>Pecos</c:v>
                </c:pt>
                <c:pt idx="18">
                  <c:v>Peralta</c:v>
                </c:pt>
                <c:pt idx="19">
                  <c:v>Portales</c:v>
                </c:pt>
                <c:pt idx="20">
                  <c:v>Questa</c:v>
                </c:pt>
                <c:pt idx="21">
                  <c:v>Raton</c:v>
                </c:pt>
                <c:pt idx="22">
                  <c:v>Red River</c:v>
                </c:pt>
                <c:pt idx="23">
                  <c:v>Reserve</c:v>
                </c:pt>
                <c:pt idx="24">
                  <c:v>Rio Communites</c:v>
                </c:pt>
                <c:pt idx="25">
                  <c:v>Rio Rancho</c:v>
                </c:pt>
                <c:pt idx="26">
                  <c:v>Roswell</c:v>
                </c:pt>
                <c:pt idx="27">
                  <c:v>Roy</c:v>
                </c:pt>
                <c:pt idx="28">
                  <c:v>Ruidoso</c:v>
                </c:pt>
                <c:pt idx="29">
                  <c:v>Ruidoso Downs</c:v>
                </c:pt>
                <c:pt idx="30">
                  <c:v>San Jon</c:v>
                </c:pt>
                <c:pt idx="31">
                  <c:v>San Ysidro</c:v>
                </c:pt>
                <c:pt idx="32">
                  <c:v>Santa Clara</c:v>
                </c:pt>
                <c:pt idx="33">
                  <c:v>Santa Fe</c:v>
                </c:pt>
                <c:pt idx="34">
                  <c:v>Santa Rosa</c:v>
                </c:pt>
                <c:pt idx="35">
                  <c:v>Silver City</c:v>
                </c:pt>
                <c:pt idx="36">
                  <c:v>Socorro</c:v>
                </c:pt>
                <c:pt idx="37">
                  <c:v>Springer</c:v>
                </c:pt>
                <c:pt idx="38">
                  <c:v>Sunland Park</c:v>
                </c:pt>
                <c:pt idx="39">
                  <c:v>Taos</c:v>
                </c:pt>
                <c:pt idx="40">
                  <c:v>Taos Ski Valley</c:v>
                </c:pt>
                <c:pt idx="41">
                  <c:v>Tatum</c:v>
                </c:pt>
                <c:pt idx="42">
                  <c:v>Texico</c:v>
                </c:pt>
                <c:pt idx="43">
                  <c:v>Tijeras</c:v>
                </c:pt>
                <c:pt idx="44">
                  <c:v>Truth or Consequences</c:v>
                </c:pt>
                <c:pt idx="45">
                  <c:v>Tucumcari</c:v>
                </c:pt>
                <c:pt idx="46">
                  <c:v>Tularosa</c:v>
                </c:pt>
                <c:pt idx="47">
                  <c:v>Vaughn</c:v>
                </c:pt>
                <c:pt idx="48">
                  <c:v>Virden</c:v>
                </c:pt>
                <c:pt idx="49">
                  <c:v>Wagon Mound</c:v>
                </c:pt>
                <c:pt idx="50">
                  <c:v>Willard</c:v>
                </c:pt>
                <c:pt idx="51">
                  <c:v>Williamsburg</c:v>
                </c:pt>
              </c:strCache>
            </c:strRef>
          </c:cat>
          <c:val>
            <c:numRef>
              <c:f>'Table 19'!$K$11:$K$62</c:f>
              <c:numCache>
                <c:formatCode>0.000</c:formatCode>
                <c:ptCount val="52"/>
                <c:pt idx="0">
                  <c:v>5.12</c:v>
                </c:pt>
                <c:pt idx="1">
                  <c:v>7.65</c:v>
                </c:pt>
                <c:pt idx="2">
                  <c:v>7.65</c:v>
                </c:pt>
                <c:pt idx="3">
                  <c:v>3.2250000000000001</c:v>
                </c:pt>
                <c:pt idx="4">
                  <c:v>3.9980000000000002</c:v>
                </c:pt>
                <c:pt idx="5">
                  <c:v>7.65</c:v>
                </c:pt>
                <c:pt idx="6">
                  <c:v>0</c:v>
                </c:pt>
                <c:pt idx="7">
                  <c:v>2.2250000000000001</c:v>
                </c:pt>
                <c:pt idx="8">
                  <c:v>5.65</c:v>
                </c:pt>
                <c:pt idx="9">
                  <c:v>2.2250000000000001</c:v>
                </c:pt>
                <c:pt idx="10">
                  <c:v>7.65</c:v>
                </c:pt>
                <c:pt idx="11">
                  <c:v>2.2250000000000001</c:v>
                </c:pt>
                <c:pt idx="12">
                  <c:v>2.34</c:v>
                </c:pt>
                <c:pt idx="13">
                  <c:v>7.65</c:v>
                </c:pt>
                <c:pt idx="14">
                  <c:v>2.2250000000000001</c:v>
                </c:pt>
                <c:pt idx="15">
                  <c:v>2.2250000000000001</c:v>
                </c:pt>
                <c:pt idx="16">
                  <c:v>7.65</c:v>
                </c:pt>
                <c:pt idx="17">
                  <c:v>2.2250000000000001</c:v>
                </c:pt>
                <c:pt idx="18">
                  <c:v>3</c:v>
                </c:pt>
                <c:pt idx="19">
                  <c:v>3.2250000000000001</c:v>
                </c:pt>
                <c:pt idx="20">
                  <c:v>5.2249999999999996</c:v>
                </c:pt>
                <c:pt idx="21">
                  <c:v>7.65</c:v>
                </c:pt>
                <c:pt idx="22">
                  <c:v>7.65</c:v>
                </c:pt>
                <c:pt idx="23">
                  <c:v>2.2250000000000001</c:v>
                </c:pt>
                <c:pt idx="24">
                  <c:v>2.75</c:v>
                </c:pt>
                <c:pt idx="25">
                  <c:v>7.65</c:v>
                </c:pt>
                <c:pt idx="26">
                  <c:v>7.65</c:v>
                </c:pt>
                <c:pt idx="27">
                  <c:v>2.2250000000000001</c:v>
                </c:pt>
                <c:pt idx="28">
                  <c:v>6.3680000000000003</c:v>
                </c:pt>
                <c:pt idx="29">
                  <c:v>7.65</c:v>
                </c:pt>
                <c:pt idx="30">
                  <c:v>7.65</c:v>
                </c:pt>
                <c:pt idx="31">
                  <c:v>7.65</c:v>
                </c:pt>
                <c:pt idx="32">
                  <c:v>4.2249999999999996</c:v>
                </c:pt>
                <c:pt idx="33">
                  <c:v>3.1829999999999998</c:v>
                </c:pt>
                <c:pt idx="34">
                  <c:v>4.9379999999999997</c:v>
                </c:pt>
                <c:pt idx="35">
                  <c:v>3.8250000000000002</c:v>
                </c:pt>
                <c:pt idx="36">
                  <c:v>5.8129999999999997</c:v>
                </c:pt>
                <c:pt idx="37">
                  <c:v>7.65</c:v>
                </c:pt>
                <c:pt idx="38">
                  <c:v>7.65</c:v>
                </c:pt>
                <c:pt idx="39">
                  <c:v>4.2249999999999996</c:v>
                </c:pt>
                <c:pt idx="40">
                  <c:v>7.65</c:v>
                </c:pt>
                <c:pt idx="41">
                  <c:v>4.2249999999999996</c:v>
                </c:pt>
                <c:pt idx="42">
                  <c:v>2.2250000000000001</c:v>
                </c:pt>
                <c:pt idx="43">
                  <c:v>2.2250000000000001</c:v>
                </c:pt>
                <c:pt idx="44">
                  <c:v>2.2250000000000001</c:v>
                </c:pt>
                <c:pt idx="45">
                  <c:v>7.65</c:v>
                </c:pt>
                <c:pt idx="46">
                  <c:v>7.65</c:v>
                </c:pt>
                <c:pt idx="47">
                  <c:v>7.65</c:v>
                </c:pt>
                <c:pt idx="48">
                  <c:v>2.2250000000000001</c:v>
                </c:pt>
                <c:pt idx="49">
                  <c:v>7.65</c:v>
                </c:pt>
                <c:pt idx="50">
                  <c:v>5.2249999999999996</c:v>
                </c:pt>
                <c:pt idx="51">
                  <c:v>2.2250000000000001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CB0-9D17-9FFFDEB1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59248"/>
        <c:axId val="174170896"/>
      </c:barChart>
      <c:catAx>
        <c:axId val="17585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74170896"/>
        <c:crosses val="autoZero"/>
        <c:auto val="0"/>
        <c:lblAlgn val="ctr"/>
        <c:lblOffset val="100"/>
        <c:tickLblSkip val="1"/>
        <c:noMultiLvlLbl val="0"/>
      </c:catAx>
      <c:valAx>
        <c:axId val="174170896"/>
        <c:scaling>
          <c:orientation val="minMax"/>
          <c:max val="8"/>
          <c:min val="2"/>
        </c:scaling>
        <c:delete val="0"/>
        <c:axPos val="l"/>
        <c:majorGridlines/>
        <c:numFmt formatCode="0.000" sourceLinked="1"/>
        <c:majorTickMark val="in"/>
        <c:minorTickMark val="none"/>
        <c:tickLblPos val="nextTo"/>
        <c:crossAx val="17585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aseline="0"/>
              <a:t>Figure 4: New Mexico Municipalities with Over $1 Billion in Net Taxable Value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\$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20 part 1'!$T$10:$T$14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20 part 1'!$S$10:$S$14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E8-49FA-941E-02B5293C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73136"/>
        <c:axId val="174173696"/>
      </c:barChart>
      <c:catAx>
        <c:axId val="174173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73696"/>
        <c:crosses val="autoZero"/>
        <c:auto val="0"/>
        <c:lblAlgn val="ctr"/>
        <c:lblOffset val="100"/>
        <c:tickMarkSkip val="1"/>
        <c:noMultiLvlLbl val="0"/>
      </c:catAx>
      <c:valAx>
        <c:axId val="17417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Net Taxable Value ($Millions)</a:t>
                </a:r>
              </a:p>
            </c:rich>
          </c:tx>
          <c:layout>
            <c:manualLayout>
              <c:xMode val="edge"/>
              <c:yMode val="edge"/>
              <c:x val="0.38921123790583623"/>
              <c:y val="0.9257567104511708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731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##,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20 part 1'!$C$68:$C$121</c:f>
              <c:strCache>
                <c:ptCount val="54"/>
                <c:pt idx="0">
                  <c:v>Alamogordo</c:v>
                </c:pt>
                <c:pt idx="1">
                  <c:v>Albuquerque</c:v>
                </c:pt>
                <c:pt idx="2">
                  <c:v>Angel Fire</c:v>
                </c:pt>
                <c:pt idx="3">
                  <c:v>Anthony</c:v>
                </c:pt>
                <c:pt idx="4">
                  <c:v>Artesia</c:v>
                </c:pt>
                <c:pt idx="5">
                  <c:v>Aztec</c:v>
                </c:pt>
                <c:pt idx="6">
                  <c:v>Bayard</c:v>
                </c:pt>
                <c:pt idx="7">
                  <c:v>Belen</c:v>
                </c:pt>
                <c:pt idx="8">
                  <c:v>Bernalillo</c:v>
                </c:pt>
                <c:pt idx="9">
                  <c:v>Bloomfield</c:v>
                </c:pt>
                <c:pt idx="10">
                  <c:v>Bosque Farms</c:v>
                </c:pt>
                <c:pt idx="11">
                  <c:v>Capitan</c:v>
                </c:pt>
                <c:pt idx="12">
                  <c:v>Carlsbad</c:v>
                </c:pt>
                <c:pt idx="13">
                  <c:v>Carrizozo</c:v>
                </c:pt>
                <c:pt idx="14">
                  <c:v>Causey</c:v>
                </c:pt>
                <c:pt idx="15">
                  <c:v>Chama</c:v>
                </c:pt>
                <c:pt idx="16">
                  <c:v>Cimarron</c:v>
                </c:pt>
                <c:pt idx="17">
                  <c:v>Clayton</c:v>
                </c:pt>
                <c:pt idx="18">
                  <c:v>Cloudcroft</c:v>
                </c:pt>
                <c:pt idx="19">
                  <c:v>Clovis</c:v>
                </c:pt>
                <c:pt idx="20">
                  <c:v>Columbus</c:v>
                </c:pt>
                <c:pt idx="21">
                  <c:v>Corona</c:v>
                </c:pt>
                <c:pt idx="22">
                  <c:v>Corrales</c:v>
                </c:pt>
                <c:pt idx="23">
                  <c:v>Cuba</c:v>
                </c:pt>
                <c:pt idx="24">
                  <c:v>Deming</c:v>
                </c:pt>
                <c:pt idx="25">
                  <c:v>Des Moines</c:v>
                </c:pt>
                <c:pt idx="26">
                  <c:v>Dexter</c:v>
                </c:pt>
                <c:pt idx="27">
                  <c:v>Dora</c:v>
                </c:pt>
                <c:pt idx="28">
                  <c:v>Eagle Nest</c:v>
                </c:pt>
                <c:pt idx="29">
                  <c:v>Edgewood</c:v>
                </c:pt>
                <c:pt idx="30">
                  <c:v>Elephant Butte</c:v>
                </c:pt>
                <c:pt idx="31">
                  <c:v>Elida</c:v>
                </c:pt>
                <c:pt idx="32">
                  <c:v>Encino</c:v>
                </c:pt>
                <c:pt idx="33">
                  <c:v>Espanola</c:v>
                </c:pt>
                <c:pt idx="34">
                  <c:v>Estancia</c:v>
                </c:pt>
                <c:pt idx="35">
                  <c:v>Eunice</c:v>
                </c:pt>
                <c:pt idx="36">
                  <c:v>Farmington</c:v>
                </c:pt>
                <c:pt idx="37">
                  <c:v>Floyd</c:v>
                </c:pt>
                <c:pt idx="38">
                  <c:v>Folsom</c:v>
                </c:pt>
                <c:pt idx="39">
                  <c:v>Fort Sumner</c:v>
                </c:pt>
                <c:pt idx="40">
                  <c:v>Gallup</c:v>
                </c:pt>
                <c:pt idx="41">
                  <c:v>Grady</c:v>
                </c:pt>
                <c:pt idx="42">
                  <c:v>Grants</c:v>
                </c:pt>
                <c:pt idx="43">
                  <c:v>Grenville</c:v>
                </c:pt>
                <c:pt idx="44">
                  <c:v>Hagerman</c:v>
                </c:pt>
                <c:pt idx="45">
                  <c:v>Hatch</c:v>
                </c:pt>
                <c:pt idx="46">
                  <c:v>Hobbs</c:v>
                </c:pt>
                <c:pt idx="47">
                  <c:v>Hope</c:v>
                </c:pt>
                <c:pt idx="48">
                  <c:v>House</c:v>
                </c:pt>
                <c:pt idx="49">
                  <c:v>Hurley</c:v>
                </c:pt>
                <c:pt idx="50">
                  <c:v>Jal</c:v>
                </c:pt>
                <c:pt idx="51">
                  <c:v>Jemez Springs</c:v>
                </c:pt>
                <c:pt idx="52">
                  <c:v>Kirtland</c:v>
                </c:pt>
                <c:pt idx="53">
                  <c:v>Lake Arthur</c:v>
                </c:pt>
              </c:strCache>
            </c:strRef>
          </c:cat>
          <c:val>
            <c:numRef>
              <c:f>'Table 20 part 1'!$D$68:$D$121</c:f>
              <c:numCache>
                <c:formatCode>#,##0</c:formatCode>
                <c:ptCount val="54"/>
                <c:pt idx="0">
                  <c:v>637220.79099999997</c:v>
                </c:pt>
                <c:pt idx="1">
                  <c:v>15591282.772</c:v>
                </c:pt>
                <c:pt idx="2">
                  <c:v>281605.34999999998</c:v>
                </c:pt>
                <c:pt idx="3">
                  <c:v>81638.535999999993</c:v>
                </c:pt>
                <c:pt idx="4">
                  <c:v>498906.06099999999</c:v>
                </c:pt>
                <c:pt idx="5">
                  <c:v>138624.12400000001</c:v>
                </c:pt>
                <c:pt idx="6">
                  <c:v>22172.324000000001</c:v>
                </c:pt>
                <c:pt idx="7">
                  <c:v>164804.505</c:v>
                </c:pt>
                <c:pt idx="8">
                  <c:v>225855.10500000001</c:v>
                </c:pt>
                <c:pt idx="9">
                  <c:v>149430.75399999999</c:v>
                </c:pt>
                <c:pt idx="10">
                  <c:v>109014.292</c:v>
                </c:pt>
                <c:pt idx="11">
                  <c:v>29533.062000000002</c:v>
                </c:pt>
                <c:pt idx="12">
                  <c:v>799258.36428999994</c:v>
                </c:pt>
                <c:pt idx="13">
                  <c:v>17960.387999999999</c:v>
                </c:pt>
                <c:pt idx="14">
                  <c:v>1174.3440000000001</c:v>
                </c:pt>
                <c:pt idx="15">
                  <c:v>29356.403999999999</c:v>
                </c:pt>
                <c:pt idx="16">
                  <c:v>14591.618</c:v>
                </c:pt>
                <c:pt idx="17">
                  <c:v>36778.555</c:v>
                </c:pt>
                <c:pt idx="18">
                  <c:v>65141.659</c:v>
                </c:pt>
                <c:pt idx="19">
                  <c:v>684209.36499999999</c:v>
                </c:pt>
                <c:pt idx="20">
                  <c:v>18845.928</c:v>
                </c:pt>
                <c:pt idx="21">
                  <c:v>4702.3469999999998</c:v>
                </c:pt>
                <c:pt idx="22">
                  <c:v>429775.03600000002</c:v>
                </c:pt>
                <c:pt idx="23">
                  <c:v>12560.891</c:v>
                </c:pt>
                <c:pt idx="24">
                  <c:v>265150.36599999998</c:v>
                </c:pt>
                <c:pt idx="25">
                  <c:v>2557.1509999999998</c:v>
                </c:pt>
                <c:pt idx="26">
                  <c:v>12668.95</c:v>
                </c:pt>
                <c:pt idx="27">
                  <c:v>1225.133</c:v>
                </c:pt>
                <c:pt idx="28">
                  <c:v>19567.467000000001</c:v>
                </c:pt>
                <c:pt idx="29">
                  <c:v>319083.755</c:v>
                </c:pt>
                <c:pt idx="30">
                  <c:v>63840.88</c:v>
                </c:pt>
                <c:pt idx="31">
                  <c:v>2740.0079999999998</c:v>
                </c:pt>
                <c:pt idx="32">
                  <c:v>3446.9169999999999</c:v>
                </c:pt>
                <c:pt idx="33">
                  <c:v>194934.21599999999</c:v>
                </c:pt>
                <c:pt idx="34">
                  <c:v>28840.475999999999</c:v>
                </c:pt>
                <c:pt idx="35">
                  <c:v>41437.540999999997</c:v>
                </c:pt>
                <c:pt idx="36">
                  <c:v>1243471.1880000001</c:v>
                </c:pt>
                <c:pt idx="37">
                  <c:v>1152.4259999999999</c:v>
                </c:pt>
                <c:pt idx="38">
                  <c:v>1198.405</c:v>
                </c:pt>
                <c:pt idx="39">
                  <c:v>14421.36</c:v>
                </c:pt>
                <c:pt idx="40">
                  <c:v>361905.14799999999</c:v>
                </c:pt>
                <c:pt idx="41">
                  <c:v>744.45600000000002</c:v>
                </c:pt>
                <c:pt idx="42">
                  <c:v>138839.96100000001</c:v>
                </c:pt>
                <c:pt idx="43">
                  <c:v>784.60199999999998</c:v>
                </c:pt>
                <c:pt idx="44">
                  <c:v>8031.9709999999995</c:v>
                </c:pt>
                <c:pt idx="45">
                  <c:v>22641.582999999999</c:v>
                </c:pt>
                <c:pt idx="46">
                  <c:v>800592.321</c:v>
                </c:pt>
                <c:pt idx="47">
                  <c:v>1073.6130000000001</c:v>
                </c:pt>
                <c:pt idx="48">
                  <c:v>1126.086</c:v>
                </c:pt>
                <c:pt idx="49">
                  <c:v>12849.471</c:v>
                </c:pt>
                <c:pt idx="50">
                  <c:v>30806.39</c:v>
                </c:pt>
                <c:pt idx="51">
                  <c:v>11741.466</c:v>
                </c:pt>
                <c:pt idx="52">
                  <c:v>22506.794999999998</c:v>
                </c:pt>
                <c:pt idx="53">
                  <c:v>3352.1170000000002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3-480D-AE7F-84852CA5DF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175936"/>
        <c:axId val="174176496"/>
      </c:barChart>
      <c:catAx>
        <c:axId val="17417593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crossAx val="174176496"/>
        <c:crosses val="autoZero"/>
        <c:auto val="0"/>
        <c:lblAlgn val="ctr"/>
        <c:lblOffset val="100"/>
        <c:tickLblSkip val="1"/>
        <c:noMultiLvlLbl val="0"/>
      </c:catAx>
      <c:valAx>
        <c:axId val="174176496"/>
        <c:scaling>
          <c:logBase val="1000"/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7417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 20 part 2'!$C$67:$C$118</c:f>
              <c:strCache>
                <c:ptCount val="52"/>
                <c:pt idx="0">
                  <c:v>Las Cruces</c:v>
                </c:pt>
                <c:pt idx="1">
                  <c:v>Las Vegas</c:v>
                </c:pt>
                <c:pt idx="2">
                  <c:v>Logan</c:v>
                </c:pt>
                <c:pt idx="3">
                  <c:v>Lordsburg</c:v>
                </c:pt>
                <c:pt idx="4">
                  <c:v>Los Alamos</c:v>
                </c:pt>
                <c:pt idx="5">
                  <c:v>Los Lunas</c:v>
                </c:pt>
                <c:pt idx="6">
                  <c:v>Los Ranchos</c:v>
                </c:pt>
                <c:pt idx="7">
                  <c:v>Loving</c:v>
                </c:pt>
                <c:pt idx="8">
                  <c:v>Lovington</c:v>
                </c:pt>
                <c:pt idx="9">
                  <c:v>Magdalena</c:v>
                </c:pt>
                <c:pt idx="10">
                  <c:v>Maxwell</c:v>
                </c:pt>
                <c:pt idx="11">
                  <c:v>Melrose</c:v>
                </c:pt>
                <c:pt idx="12">
                  <c:v>Mesilla</c:v>
                </c:pt>
                <c:pt idx="13">
                  <c:v>Milan</c:v>
                </c:pt>
                <c:pt idx="14">
                  <c:v>Moriarty</c:v>
                </c:pt>
                <c:pt idx="15">
                  <c:v>Mosquero</c:v>
                </c:pt>
                <c:pt idx="16">
                  <c:v>Mountainair</c:v>
                </c:pt>
                <c:pt idx="17">
                  <c:v>Pecos</c:v>
                </c:pt>
                <c:pt idx="18">
                  <c:v>Peralta</c:v>
                </c:pt>
                <c:pt idx="19">
                  <c:v>Portales</c:v>
                </c:pt>
                <c:pt idx="20">
                  <c:v>Questa</c:v>
                </c:pt>
                <c:pt idx="21">
                  <c:v>Raton</c:v>
                </c:pt>
                <c:pt idx="22">
                  <c:v>Red River</c:v>
                </c:pt>
                <c:pt idx="23">
                  <c:v>Reserve</c:v>
                </c:pt>
                <c:pt idx="24">
                  <c:v>Rio Communities</c:v>
                </c:pt>
                <c:pt idx="25">
                  <c:v>Rio Rancho</c:v>
                </c:pt>
                <c:pt idx="26">
                  <c:v>Roswell</c:v>
                </c:pt>
                <c:pt idx="27">
                  <c:v>Roy</c:v>
                </c:pt>
                <c:pt idx="28">
                  <c:v>Ruidoso</c:v>
                </c:pt>
                <c:pt idx="29">
                  <c:v>Ruidoso Downs</c:v>
                </c:pt>
                <c:pt idx="30">
                  <c:v>San Jon</c:v>
                </c:pt>
                <c:pt idx="31">
                  <c:v>San Ysidro</c:v>
                </c:pt>
                <c:pt idx="32">
                  <c:v>Santa Clara</c:v>
                </c:pt>
                <c:pt idx="33">
                  <c:v>Santa Fe</c:v>
                </c:pt>
                <c:pt idx="34">
                  <c:v>Santa Rosa</c:v>
                </c:pt>
                <c:pt idx="35">
                  <c:v>Silver City</c:v>
                </c:pt>
                <c:pt idx="36">
                  <c:v>Socorro</c:v>
                </c:pt>
                <c:pt idx="37">
                  <c:v>Springer</c:v>
                </c:pt>
                <c:pt idx="38">
                  <c:v>Sunland Park</c:v>
                </c:pt>
                <c:pt idx="39">
                  <c:v>T or C</c:v>
                </c:pt>
                <c:pt idx="40">
                  <c:v>Taos</c:v>
                </c:pt>
                <c:pt idx="41">
                  <c:v>Taos Ski Valley</c:v>
                </c:pt>
                <c:pt idx="42">
                  <c:v>Tatum</c:v>
                </c:pt>
                <c:pt idx="43">
                  <c:v>Texico</c:v>
                </c:pt>
                <c:pt idx="44">
                  <c:v>Tijeras</c:v>
                </c:pt>
                <c:pt idx="45">
                  <c:v>Tucumcari</c:v>
                </c:pt>
                <c:pt idx="46">
                  <c:v>Tularosa</c:v>
                </c:pt>
                <c:pt idx="47">
                  <c:v>Vaughn</c:v>
                </c:pt>
                <c:pt idx="48">
                  <c:v>Virden</c:v>
                </c:pt>
                <c:pt idx="49">
                  <c:v>Wagon Mound</c:v>
                </c:pt>
                <c:pt idx="50">
                  <c:v>Willard</c:v>
                </c:pt>
                <c:pt idx="51">
                  <c:v>Williamsburg</c:v>
                </c:pt>
              </c:strCache>
            </c:strRef>
          </c:cat>
          <c:val>
            <c:numRef>
              <c:f>'Table 20 part 2'!$D$67:$D$118</c:f>
              <c:numCache>
                <c:formatCode>#,##0</c:formatCode>
                <c:ptCount val="52"/>
                <c:pt idx="0">
                  <c:v>2800479.219</c:v>
                </c:pt>
                <c:pt idx="1">
                  <c:v>237008.33199999999</c:v>
                </c:pt>
                <c:pt idx="2">
                  <c:v>41079.923999999999</c:v>
                </c:pt>
                <c:pt idx="3">
                  <c:v>37434.546999999999</c:v>
                </c:pt>
                <c:pt idx="4">
                  <c:v>921400.83200000005</c:v>
                </c:pt>
                <c:pt idx="5">
                  <c:v>488345.95600000001</c:v>
                </c:pt>
                <c:pt idx="6">
                  <c:v>314594.39899999998</c:v>
                </c:pt>
                <c:pt idx="7">
                  <c:v>18244.599999999999</c:v>
                </c:pt>
                <c:pt idx="8">
                  <c:v>120933.194</c:v>
                </c:pt>
                <c:pt idx="9">
                  <c:v>8101.6059999999998</c:v>
                </c:pt>
                <c:pt idx="10">
                  <c:v>2654.3719999999998</c:v>
                </c:pt>
                <c:pt idx="11">
                  <c:v>8523.5830000000005</c:v>
                </c:pt>
                <c:pt idx="12">
                  <c:v>76541.187000000005</c:v>
                </c:pt>
                <c:pt idx="13">
                  <c:v>48744.777000000002</c:v>
                </c:pt>
                <c:pt idx="14">
                  <c:v>53408.108999999997</c:v>
                </c:pt>
                <c:pt idx="15">
                  <c:v>1258.711</c:v>
                </c:pt>
                <c:pt idx="16">
                  <c:v>10903.058000000001</c:v>
                </c:pt>
                <c:pt idx="17">
                  <c:v>25670.79</c:v>
                </c:pt>
                <c:pt idx="18">
                  <c:v>71795.942999999999</c:v>
                </c:pt>
                <c:pt idx="19">
                  <c:v>184496.79699999999</c:v>
                </c:pt>
                <c:pt idx="20">
                  <c:v>47190.122000000003</c:v>
                </c:pt>
                <c:pt idx="21">
                  <c:v>99691.058999999994</c:v>
                </c:pt>
                <c:pt idx="22">
                  <c:v>66663.034</c:v>
                </c:pt>
                <c:pt idx="23">
                  <c:v>7175.2280000000001</c:v>
                </c:pt>
                <c:pt idx="24">
                  <c:v>95398.94</c:v>
                </c:pt>
                <c:pt idx="25">
                  <c:v>2863874.3539999998</c:v>
                </c:pt>
                <c:pt idx="26">
                  <c:v>823832.83100000001</c:v>
                </c:pt>
                <c:pt idx="27">
                  <c:v>2562.6750000000002</c:v>
                </c:pt>
                <c:pt idx="28">
                  <c:v>630721.60400000005</c:v>
                </c:pt>
                <c:pt idx="29">
                  <c:v>57899.017999999996</c:v>
                </c:pt>
                <c:pt idx="30">
                  <c:v>2945.1219999999998</c:v>
                </c:pt>
                <c:pt idx="31">
                  <c:v>4345.87</c:v>
                </c:pt>
                <c:pt idx="32">
                  <c:v>16653.185000000001</c:v>
                </c:pt>
                <c:pt idx="33">
                  <c:v>4946200.6919999998</c:v>
                </c:pt>
                <c:pt idx="34">
                  <c:v>52655.703000000001</c:v>
                </c:pt>
                <c:pt idx="35">
                  <c:v>229391.486</c:v>
                </c:pt>
                <c:pt idx="36">
                  <c:v>128523.58</c:v>
                </c:pt>
                <c:pt idx="37">
                  <c:v>11654.761</c:v>
                </c:pt>
                <c:pt idx="38">
                  <c:v>311430.23700000002</c:v>
                </c:pt>
                <c:pt idx="39">
                  <c:v>107357.753</c:v>
                </c:pt>
                <c:pt idx="40">
                  <c:v>371071.973</c:v>
                </c:pt>
                <c:pt idx="41">
                  <c:v>102218.927</c:v>
                </c:pt>
                <c:pt idx="42">
                  <c:v>6956.7879999999996</c:v>
                </c:pt>
                <c:pt idx="43">
                  <c:v>8573.4169999999995</c:v>
                </c:pt>
                <c:pt idx="44">
                  <c:v>16083.156999999999</c:v>
                </c:pt>
                <c:pt idx="45">
                  <c:v>80988.345000000001</c:v>
                </c:pt>
                <c:pt idx="46">
                  <c:v>37264.963000000003</c:v>
                </c:pt>
                <c:pt idx="47">
                  <c:v>9978.5879999999997</c:v>
                </c:pt>
                <c:pt idx="48">
                  <c:v>1244.2570000000001</c:v>
                </c:pt>
                <c:pt idx="49">
                  <c:v>6142.77</c:v>
                </c:pt>
                <c:pt idx="50">
                  <c:v>2272.7089999999998</c:v>
                </c:pt>
                <c:pt idx="51">
                  <c:v>5780.4579999999996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C-4EBA-8B85-F8F40721FE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8632144"/>
        <c:axId val="338632704"/>
      </c:barChart>
      <c:catAx>
        <c:axId val="338632144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38632704"/>
        <c:crosses val="autoZero"/>
        <c:auto val="0"/>
        <c:lblAlgn val="ctr"/>
        <c:lblOffset val="100"/>
        <c:tickLblSkip val="1"/>
        <c:noMultiLvlLbl val="0"/>
      </c:catAx>
      <c:valAx>
        <c:axId val="338632704"/>
        <c:scaling>
          <c:logBase val="1000"/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33863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385080</xdr:colOff>
      <xdr:row>49</xdr:row>
      <xdr:rowOff>38099</xdr:rowOff>
    </xdr:from>
    <xdr:to>
      <xdr:col>27</xdr:col>
      <xdr:colOff>364672</xdr:colOff>
      <xdr:row>86</xdr:row>
      <xdr:rowOff>231320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299357</xdr:colOff>
      <xdr:row>7</xdr:row>
      <xdr:rowOff>54429</xdr:rowOff>
    </xdr:from>
    <xdr:to>
      <xdr:col>27</xdr:col>
      <xdr:colOff>272143</xdr:colOff>
      <xdr:row>43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24</xdr:col>
      <xdr:colOff>566057</xdr:colOff>
      <xdr:row>49</xdr:row>
      <xdr:rowOff>87084</xdr:rowOff>
    </xdr:from>
    <xdr:ext cx="903514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59657" y="9960427"/>
          <a:ext cx="90351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sz="1200" b="1"/>
            <a:t>Thousands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0.03511</cdr:x>
      <cdr:y>0.06951</cdr:y>
    </cdr:from>
    <cdr:to>
      <cdr:x>0.09337</cdr:x>
      <cdr:y>0.19309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1092" y="514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0.92584</cdr:x>
      <cdr:y>0.02559</cdr:y>
    </cdr:from>
    <cdr:to>
      <cdr:x>0.98325</cdr:x>
      <cdr:y>0.14845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746062" y="1905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27</xdr:row>
      <xdr:rowOff>38100</xdr:rowOff>
    </xdr:from>
    <xdr:to>
      <xdr:col>16</xdr:col>
      <xdr:colOff>205740</xdr:colOff>
      <xdr:row>47</xdr:row>
      <xdr:rowOff>38100</xdr:rowOff>
    </xdr:to>
    <xdr:graphicFrame macro="">
      <xdr:nvGraphicFramePr>
        <xdr:cNvPr id="26639" name="Chart 3">
          <a:extLst>
            <a:ext uri="{FF2B5EF4-FFF2-40B4-BE49-F238E27FC236}">
              <a16:creationId xmlns:a16="http://schemas.microsoft.com/office/drawing/2014/main" id="{00000000-0008-0000-0300-00000F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104775</xdr:rowOff>
    </xdr:from>
    <xdr:to>
      <xdr:col>12</xdr:col>
      <xdr:colOff>514350</xdr:colOff>
      <xdr:row>58</xdr:row>
      <xdr:rowOff>66675</xdr:rowOff>
    </xdr:to>
    <xdr:grpSp>
      <xdr:nvGrpSpPr>
        <xdr:cNvPr id="200868" name="Group 1692">
          <a:extLst>
            <a:ext uri="{FF2B5EF4-FFF2-40B4-BE49-F238E27FC236}">
              <a16:creationId xmlns:a16="http://schemas.microsoft.com/office/drawing/2014/main" id="{00000000-0008-0000-0800-0000A4100300}"/>
            </a:ext>
          </a:extLst>
        </xdr:cNvPr>
        <xdr:cNvGrpSpPr>
          <a:grpSpLocks/>
        </xdr:cNvGrpSpPr>
      </xdr:nvGrpSpPr>
      <xdr:grpSpPr bwMode="auto">
        <a:xfrm>
          <a:off x="1143000" y="1514475"/>
          <a:ext cx="6315075" cy="8220075"/>
          <a:chOff x="174" y="576"/>
          <a:chExt cx="3904" cy="5120"/>
        </a:xfrm>
      </xdr:grpSpPr>
      <xdr:sp macro="" textlink="">
        <xdr:nvSpPr>
          <xdr:cNvPr id="200869" name="Freeform 1693">
            <a:extLst>
              <a:ext uri="{FF2B5EF4-FFF2-40B4-BE49-F238E27FC236}">
                <a16:creationId xmlns:a16="http://schemas.microsoft.com/office/drawing/2014/main" id="{00000000-0008-0000-0800-0000A5100300}"/>
              </a:ext>
            </a:extLst>
          </xdr:cNvPr>
          <xdr:cNvSpPr>
            <a:spLocks/>
          </xdr:cNvSpPr>
        </xdr:nvSpPr>
        <xdr:spPr bwMode="auto">
          <a:xfrm>
            <a:off x="302" y="1487"/>
            <a:ext cx="1071" cy="925"/>
          </a:xfrm>
          <a:custGeom>
            <a:avLst/>
            <a:gdLst>
              <a:gd name="T0" fmla="*/ 30 w 1071"/>
              <a:gd name="T1" fmla="*/ 0 h 925"/>
              <a:gd name="T2" fmla="*/ 1071 w 1071"/>
              <a:gd name="T3" fmla="*/ 30 h 925"/>
              <a:gd name="T4" fmla="*/ 1062 w 1071"/>
              <a:gd name="T5" fmla="*/ 646 h 925"/>
              <a:gd name="T6" fmla="*/ 1051 w 1071"/>
              <a:gd name="T7" fmla="*/ 649 h 925"/>
              <a:gd name="T8" fmla="*/ 862 w 1071"/>
              <a:gd name="T9" fmla="*/ 646 h 925"/>
              <a:gd name="T10" fmla="*/ 865 w 1071"/>
              <a:gd name="T11" fmla="*/ 610 h 925"/>
              <a:gd name="T12" fmla="*/ 787 w 1071"/>
              <a:gd name="T13" fmla="*/ 610 h 925"/>
              <a:gd name="T14" fmla="*/ 789 w 1071"/>
              <a:gd name="T15" fmla="*/ 640 h 925"/>
              <a:gd name="T16" fmla="*/ 342 w 1071"/>
              <a:gd name="T17" fmla="*/ 625 h 925"/>
              <a:gd name="T18" fmla="*/ 339 w 1071"/>
              <a:gd name="T19" fmla="*/ 925 h 925"/>
              <a:gd name="T20" fmla="*/ 0 w 1071"/>
              <a:gd name="T21" fmla="*/ 924 h 925"/>
              <a:gd name="T22" fmla="*/ 30 w 1071"/>
              <a:gd name="T23" fmla="*/ 0 h 925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071"/>
              <a:gd name="T37" fmla="*/ 0 h 925"/>
              <a:gd name="T38" fmla="*/ 1071 w 1071"/>
              <a:gd name="T39" fmla="*/ 925 h 925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071" h="925">
                <a:moveTo>
                  <a:pt x="30" y="0"/>
                </a:moveTo>
                <a:lnTo>
                  <a:pt x="1071" y="30"/>
                </a:lnTo>
                <a:lnTo>
                  <a:pt x="1062" y="646"/>
                </a:lnTo>
                <a:lnTo>
                  <a:pt x="1051" y="649"/>
                </a:lnTo>
                <a:lnTo>
                  <a:pt x="862" y="646"/>
                </a:lnTo>
                <a:lnTo>
                  <a:pt x="865" y="610"/>
                </a:lnTo>
                <a:lnTo>
                  <a:pt x="787" y="610"/>
                </a:lnTo>
                <a:lnTo>
                  <a:pt x="789" y="640"/>
                </a:lnTo>
                <a:lnTo>
                  <a:pt x="342" y="625"/>
                </a:lnTo>
                <a:lnTo>
                  <a:pt x="339" y="925"/>
                </a:lnTo>
                <a:lnTo>
                  <a:pt x="0" y="924"/>
                </a:lnTo>
                <a:lnTo>
                  <a:pt x="30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870" name="Freeform 1694">
            <a:extLst>
              <a:ext uri="{FF2B5EF4-FFF2-40B4-BE49-F238E27FC236}">
                <a16:creationId xmlns:a16="http://schemas.microsoft.com/office/drawing/2014/main" id="{00000000-0008-0000-0800-0000A6100300}"/>
              </a:ext>
            </a:extLst>
          </xdr:cNvPr>
          <xdr:cNvSpPr>
            <a:spLocks/>
          </xdr:cNvSpPr>
        </xdr:nvSpPr>
        <xdr:spPr bwMode="auto">
          <a:xfrm>
            <a:off x="336" y="576"/>
            <a:ext cx="991" cy="935"/>
          </a:xfrm>
          <a:custGeom>
            <a:avLst/>
            <a:gdLst>
              <a:gd name="T0" fmla="*/ 52 w 991"/>
              <a:gd name="T1" fmla="*/ 0 h 935"/>
              <a:gd name="T2" fmla="*/ 262 w 991"/>
              <a:gd name="T3" fmla="*/ 6 h 935"/>
              <a:gd name="T4" fmla="*/ 445 w 991"/>
              <a:gd name="T5" fmla="*/ 15 h 935"/>
              <a:gd name="T6" fmla="*/ 616 w 991"/>
              <a:gd name="T7" fmla="*/ 21 h 935"/>
              <a:gd name="T8" fmla="*/ 760 w 991"/>
              <a:gd name="T9" fmla="*/ 24 h 935"/>
              <a:gd name="T10" fmla="*/ 961 w 991"/>
              <a:gd name="T11" fmla="*/ 36 h 935"/>
              <a:gd name="T12" fmla="*/ 991 w 991"/>
              <a:gd name="T13" fmla="*/ 36 h 935"/>
              <a:gd name="T14" fmla="*/ 985 w 991"/>
              <a:gd name="T15" fmla="*/ 63 h 935"/>
              <a:gd name="T16" fmla="*/ 967 w 991"/>
              <a:gd name="T17" fmla="*/ 84 h 935"/>
              <a:gd name="T18" fmla="*/ 967 w 991"/>
              <a:gd name="T19" fmla="*/ 123 h 935"/>
              <a:gd name="T20" fmla="*/ 889 w 991"/>
              <a:gd name="T21" fmla="*/ 186 h 935"/>
              <a:gd name="T22" fmla="*/ 871 w 991"/>
              <a:gd name="T23" fmla="*/ 201 h 935"/>
              <a:gd name="T24" fmla="*/ 868 w 991"/>
              <a:gd name="T25" fmla="*/ 225 h 935"/>
              <a:gd name="T26" fmla="*/ 865 w 991"/>
              <a:gd name="T27" fmla="*/ 363 h 935"/>
              <a:gd name="T28" fmla="*/ 859 w 991"/>
              <a:gd name="T29" fmla="*/ 501 h 935"/>
              <a:gd name="T30" fmla="*/ 853 w 991"/>
              <a:gd name="T31" fmla="*/ 609 h 935"/>
              <a:gd name="T32" fmla="*/ 853 w 991"/>
              <a:gd name="T33" fmla="*/ 741 h 935"/>
              <a:gd name="T34" fmla="*/ 850 w 991"/>
              <a:gd name="T35" fmla="*/ 867 h 935"/>
              <a:gd name="T36" fmla="*/ 851 w 991"/>
              <a:gd name="T37" fmla="*/ 935 h 935"/>
              <a:gd name="T38" fmla="*/ 670 w 991"/>
              <a:gd name="T39" fmla="*/ 932 h 935"/>
              <a:gd name="T40" fmla="*/ 565 w 991"/>
              <a:gd name="T41" fmla="*/ 927 h 935"/>
              <a:gd name="T42" fmla="*/ 442 w 991"/>
              <a:gd name="T43" fmla="*/ 924 h 935"/>
              <a:gd name="T44" fmla="*/ 306 w 991"/>
              <a:gd name="T45" fmla="*/ 920 h 935"/>
              <a:gd name="T46" fmla="*/ 193 w 991"/>
              <a:gd name="T47" fmla="*/ 918 h 935"/>
              <a:gd name="T48" fmla="*/ 87 w 991"/>
              <a:gd name="T49" fmla="*/ 912 h 935"/>
              <a:gd name="T50" fmla="*/ 0 w 991"/>
              <a:gd name="T51" fmla="*/ 911 h 935"/>
              <a:gd name="T52" fmla="*/ 10 w 991"/>
              <a:gd name="T53" fmla="*/ 525 h 935"/>
              <a:gd name="T54" fmla="*/ 16 w 991"/>
              <a:gd name="T55" fmla="*/ 384 h 935"/>
              <a:gd name="T56" fmla="*/ 22 w 991"/>
              <a:gd name="T57" fmla="*/ 180 h 935"/>
              <a:gd name="T58" fmla="*/ 34 w 991"/>
              <a:gd name="T59" fmla="*/ 0 h 935"/>
              <a:gd name="T60" fmla="*/ 52 w 991"/>
              <a:gd name="T61" fmla="*/ 0 h 935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991"/>
              <a:gd name="T94" fmla="*/ 0 h 935"/>
              <a:gd name="T95" fmla="*/ 991 w 991"/>
              <a:gd name="T96" fmla="*/ 935 h 935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991" h="935">
                <a:moveTo>
                  <a:pt x="52" y="0"/>
                </a:moveTo>
                <a:lnTo>
                  <a:pt x="262" y="6"/>
                </a:lnTo>
                <a:lnTo>
                  <a:pt x="445" y="15"/>
                </a:lnTo>
                <a:lnTo>
                  <a:pt x="616" y="21"/>
                </a:lnTo>
                <a:lnTo>
                  <a:pt x="760" y="24"/>
                </a:lnTo>
                <a:lnTo>
                  <a:pt x="961" y="36"/>
                </a:lnTo>
                <a:lnTo>
                  <a:pt x="991" y="36"/>
                </a:lnTo>
                <a:lnTo>
                  <a:pt x="985" y="63"/>
                </a:lnTo>
                <a:lnTo>
                  <a:pt x="967" y="84"/>
                </a:lnTo>
                <a:lnTo>
                  <a:pt x="967" y="123"/>
                </a:lnTo>
                <a:lnTo>
                  <a:pt x="889" y="186"/>
                </a:lnTo>
                <a:lnTo>
                  <a:pt x="871" y="201"/>
                </a:lnTo>
                <a:cubicBezTo>
                  <a:pt x="867" y="217"/>
                  <a:pt x="868" y="209"/>
                  <a:pt x="868" y="225"/>
                </a:cubicBezTo>
                <a:lnTo>
                  <a:pt x="865" y="363"/>
                </a:lnTo>
                <a:lnTo>
                  <a:pt x="859" y="501"/>
                </a:lnTo>
                <a:lnTo>
                  <a:pt x="853" y="609"/>
                </a:lnTo>
                <a:lnTo>
                  <a:pt x="853" y="741"/>
                </a:lnTo>
                <a:lnTo>
                  <a:pt x="850" y="867"/>
                </a:lnTo>
                <a:lnTo>
                  <a:pt x="851" y="935"/>
                </a:lnTo>
                <a:lnTo>
                  <a:pt x="670" y="932"/>
                </a:lnTo>
                <a:lnTo>
                  <a:pt x="565" y="927"/>
                </a:lnTo>
                <a:lnTo>
                  <a:pt x="442" y="924"/>
                </a:lnTo>
                <a:lnTo>
                  <a:pt x="306" y="920"/>
                </a:lnTo>
                <a:lnTo>
                  <a:pt x="193" y="918"/>
                </a:lnTo>
                <a:lnTo>
                  <a:pt x="87" y="912"/>
                </a:lnTo>
                <a:lnTo>
                  <a:pt x="0" y="911"/>
                </a:lnTo>
                <a:lnTo>
                  <a:pt x="10" y="525"/>
                </a:lnTo>
                <a:lnTo>
                  <a:pt x="16" y="384"/>
                </a:lnTo>
                <a:lnTo>
                  <a:pt x="22" y="180"/>
                </a:lnTo>
                <a:lnTo>
                  <a:pt x="34" y="0"/>
                </a:lnTo>
                <a:lnTo>
                  <a:pt x="52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871" name="Line 1695">
            <a:extLst>
              <a:ext uri="{FF2B5EF4-FFF2-40B4-BE49-F238E27FC236}">
                <a16:creationId xmlns:a16="http://schemas.microsoft.com/office/drawing/2014/main" id="{00000000-0008-0000-0800-0000A7100300}"/>
              </a:ext>
            </a:extLst>
          </xdr:cNvPr>
          <xdr:cNvSpPr>
            <a:spLocks noChangeShapeType="1"/>
          </xdr:cNvSpPr>
        </xdr:nvSpPr>
        <xdr:spPr bwMode="auto">
          <a:xfrm>
            <a:off x="360" y="76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20" name="Text Box 1696">
            <a:extLst>
              <a:ext uri="{FF2B5EF4-FFF2-40B4-BE49-F238E27FC236}">
                <a16:creationId xmlns:a16="http://schemas.microsoft.com/office/drawing/2014/main" id="{00000000-0008-0000-0800-0000A0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" y="968"/>
            <a:ext cx="765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 Juan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1" name="Text Box 1697">
            <a:extLst>
              <a:ext uri="{FF2B5EF4-FFF2-40B4-BE49-F238E27FC236}">
                <a16:creationId xmlns:a16="http://schemas.microsoft.com/office/drawing/2014/main" id="{00000000-0008-0000-0800-0000A1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18"/>
            <a:ext cx="436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Farmington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2" name="Text Box 1698">
            <a:extLst>
              <a:ext uri="{FF2B5EF4-FFF2-40B4-BE49-F238E27FC236}">
                <a16:creationId xmlns:a16="http://schemas.microsoft.com/office/drawing/2014/main" id="{00000000-0008-0000-0800-0000A2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" y="623"/>
            <a:ext cx="436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Aztec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3" name="Text Box 1699">
            <a:extLst>
              <a:ext uri="{FF2B5EF4-FFF2-40B4-BE49-F238E27FC236}">
                <a16:creationId xmlns:a16="http://schemas.microsoft.com/office/drawing/2014/main" id="{00000000-0008-0000-0800-0000A3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" y="778"/>
            <a:ext cx="436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Bloomfield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4" name="Text Box 1700">
            <a:extLst>
              <a:ext uri="{FF2B5EF4-FFF2-40B4-BE49-F238E27FC236}">
                <a16:creationId xmlns:a16="http://schemas.microsoft.com/office/drawing/2014/main" id="{00000000-0008-0000-0800-0000A4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" y="796"/>
            <a:ext cx="188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22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5" name="Text Box 1701">
            <a:extLst>
              <a:ext uri="{FF2B5EF4-FFF2-40B4-BE49-F238E27FC236}">
                <a16:creationId xmlns:a16="http://schemas.microsoft.com/office/drawing/2014/main" id="{00000000-0008-0000-0800-0000A5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" y="671"/>
            <a:ext cx="188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6" name="Text Box 1702">
            <a:extLst>
              <a:ext uri="{FF2B5EF4-FFF2-40B4-BE49-F238E27FC236}">
                <a16:creationId xmlns:a16="http://schemas.microsoft.com/office/drawing/2014/main" id="{00000000-0008-0000-0800-0000A6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" y="671"/>
            <a:ext cx="194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7" name="Text Box 1703">
            <a:extLst>
              <a:ext uri="{FF2B5EF4-FFF2-40B4-BE49-F238E27FC236}">
                <a16:creationId xmlns:a16="http://schemas.microsoft.com/office/drawing/2014/main" id="{00000000-0008-0000-0800-0000A7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2" y="885"/>
            <a:ext cx="194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8" name="Text Box 1704">
            <a:extLst>
              <a:ext uri="{FF2B5EF4-FFF2-40B4-BE49-F238E27FC236}">
                <a16:creationId xmlns:a16="http://schemas.microsoft.com/office/drawing/2014/main" id="{00000000-0008-0000-0800-0000A8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69" y="867"/>
            <a:ext cx="866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Rio Arriba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29" name="Text Box 1705">
            <a:extLst>
              <a:ext uri="{FF2B5EF4-FFF2-40B4-BE49-F238E27FC236}">
                <a16:creationId xmlns:a16="http://schemas.microsoft.com/office/drawing/2014/main" id="{00000000-0008-0000-0800-0000A9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" y="766"/>
            <a:ext cx="188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21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0" name="Text Box 1706">
            <a:extLst>
              <a:ext uri="{FF2B5EF4-FFF2-40B4-BE49-F238E27FC236}">
                <a16:creationId xmlns:a16="http://schemas.microsoft.com/office/drawing/2014/main" id="{00000000-0008-0000-0800-0000AA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" y="1104"/>
            <a:ext cx="188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53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1" name="Text Box 1707">
            <a:extLst>
              <a:ext uri="{FF2B5EF4-FFF2-40B4-BE49-F238E27FC236}">
                <a16:creationId xmlns:a16="http://schemas.microsoft.com/office/drawing/2014/main" id="{00000000-0008-0000-0800-0000AB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76" y="1057"/>
            <a:ext cx="194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19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2" name="Text Box 1708">
            <a:extLst>
              <a:ext uri="{FF2B5EF4-FFF2-40B4-BE49-F238E27FC236}">
                <a16:creationId xmlns:a16="http://schemas.microsoft.com/office/drawing/2014/main" id="{00000000-0008-0000-0800-0000AC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0" y="1104"/>
            <a:ext cx="236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6-T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3" name="Text Box 1709">
            <a:extLst>
              <a:ext uri="{FF2B5EF4-FFF2-40B4-BE49-F238E27FC236}">
                <a16:creationId xmlns:a16="http://schemas.microsoft.com/office/drawing/2014/main" id="{00000000-0008-0000-0800-0000AD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" y="1679"/>
            <a:ext cx="871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McKinley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4" name="Text Box 1710">
            <a:extLst>
              <a:ext uri="{FF2B5EF4-FFF2-40B4-BE49-F238E27FC236}">
                <a16:creationId xmlns:a16="http://schemas.microsoft.com/office/drawing/2014/main" id="{00000000-0008-0000-0800-0000AE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53" y="778"/>
            <a:ext cx="765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Colfax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5" name="Text Box 1711">
            <a:extLst>
              <a:ext uri="{FF2B5EF4-FFF2-40B4-BE49-F238E27FC236}">
                <a16:creationId xmlns:a16="http://schemas.microsoft.com/office/drawing/2014/main" id="{00000000-0008-0000-0800-0000AF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6" y="635"/>
            <a:ext cx="483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Taos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6" name="Text Box 1712">
            <a:extLst>
              <a:ext uri="{FF2B5EF4-FFF2-40B4-BE49-F238E27FC236}">
                <a16:creationId xmlns:a16="http://schemas.microsoft.com/office/drawing/2014/main" id="{00000000-0008-0000-0800-0000B0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4670"/>
            <a:ext cx="124" cy="1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~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7" name="Text Box 1713">
            <a:extLst>
              <a:ext uri="{FF2B5EF4-FFF2-40B4-BE49-F238E27FC236}">
                <a16:creationId xmlns:a16="http://schemas.microsoft.com/office/drawing/2014/main" id="{00000000-0008-0000-0800-0000B1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2" y="4759"/>
            <a:ext cx="430" cy="2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Luna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8" name="Text Box 1714">
            <a:extLst>
              <a:ext uri="{FF2B5EF4-FFF2-40B4-BE49-F238E27FC236}">
                <a16:creationId xmlns:a16="http://schemas.microsoft.com/office/drawing/2014/main" id="{00000000-0008-0000-0800-0000B2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6" y="4705"/>
            <a:ext cx="524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Dona Ana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39" name="Text Box 1715">
            <a:extLst>
              <a:ext uri="{FF2B5EF4-FFF2-40B4-BE49-F238E27FC236}">
                <a16:creationId xmlns:a16="http://schemas.microsoft.com/office/drawing/2014/main" id="{00000000-0008-0000-0800-0000B3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29" y="1525"/>
            <a:ext cx="147" cy="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Los 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0" name="Text Box 1716">
            <a:extLst>
              <a:ext uri="{FF2B5EF4-FFF2-40B4-BE49-F238E27FC236}">
                <a16:creationId xmlns:a16="http://schemas.microsoft.com/office/drawing/2014/main" id="{00000000-0008-0000-0800-0000B4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" y="5293"/>
            <a:ext cx="530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Hidalgo County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341" name="Text Box 1717">
            <a:extLst>
              <a:ext uri="{FF2B5EF4-FFF2-40B4-BE49-F238E27FC236}">
                <a16:creationId xmlns:a16="http://schemas.microsoft.com/office/drawing/2014/main" id="{00000000-0008-0000-0800-0000B5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4" y="1810"/>
            <a:ext cx="489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Sandoval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2" name="Text Box 1718">
            <a:extLst>
              <a:ext uri="{FF2B5EF4-FFF2-40B4-BE49-F238E27FC236}">
                <a16:creationId xmlns:a16="http://schemas.microsoft.com/office/drawing/2014/main" id="{00000000-0008-0000-0800-0000B6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4" y="1525"/>
            <a:ext cx="448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Harding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3" name="Text Box 1719">
            <a:extLst>
              <a:ext uri="{FF2B5EF4-FFF2-40B4-BE49-F238E27FC236}">
                <a16:creationId xmlns:a16="http://schemas.microsoft.com/office/drawing/2014/main" id="{00000000-0008-0000-0800-0000B7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2" y="2024"/>
            <a:ext cx="477" cy="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Santa Fe County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4" name="Text Box 1720">
            <a:extLst>
              <a:ext uri="{FF2B5EF4-FFF2-40B4-BE49-F238E27FC236}">
                <a16:creationId xmlns:a16="http://schemas.microsoft.com/office/drawing/2014/main" id="{00000000-0008-0000-0800-0000B8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7" y="2356"/>
            <a:ext cx="406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Bernalillo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5" name="Text Box 1721">
            <a:extLst>
              <a:ext uri="{FF2B5EF4-FFF2-40B4-BE49-F238E27FC236}">
                <a16:creationId xmlns:a16="http://schemas.microsoft.com/office/drawing/2014/main" id="{00000000-0008-0000-0800-0000B9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6" y="2469"/>
            <a:ext cx="765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Cibola County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6" name="Text Box 1722">
            <a:extLst>
              <a:ext uri="{FF2B5EF4-FFF2-40B4-BE49-F238E27FC236}">
                <a16:creationId xmlns:a16="http://schemas.microsoft.com/office/drawing/2014/main" id="{00000000-0008-0000-0800-0000BA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0" y="3003"/>
            <a:ext cx="742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Catron County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7" name="Text Box 1723">
            <a:extLst>
              <a:ext uri="{FF2B5EF4-FFF2-40B4-BE49-F238E27FC236}">
                <a16:creationId xmlns:a16="http://schemas.microsoft.com/office/drawing/2014/main" id="{00000000-0008-0000-0800-0000BB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42" y="1223"/>
            <a:ext cx="265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Union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8" name="Text Box 1724">
            <a:extLst>
              <a:ext uri="{FF2B5EF4-FFF2-40B4-BE49-F238E27FC236}">
                <a16:creationId xmlns:a16="http://schemas.microsoft.com/office/drawing/2014/main" id="{00000000-0008-0000-0800-0000BC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" y="1395"/>
            <a:ext cx="671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Mora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49" name="Text Box 1725">
            <a:extLst>
              <a:ext uri="{FF2B5EF4-FFF2-40B4-BE49-F238E27FC236}">
                <a16:creationId xmlns:a16="http://schemas.microsoft.com/office/drawing/2014/main" id="{00000000-0008-0000-0800-0000BD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0" y="4035"/>
            <a:ext cx="765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Sierra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0" name="Text Box 1726">
            <a:extLst>
              <a:ext uri="{FF2B5EF4-FFF2-40B4-BE49-F238E27FC236}">
                <a16:creationId xmlns:a16="http://schemas.microsoft.com/office/drawing/2014/main" id="{00000000-0008-0000-0800-0000BE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" y="4130"/>
            <a:ext cx="771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Grant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1" name="Text Box 1727">
            <a:extLst>
              <a:ext uri="{FF2B5EF4-FFF2-40B4-BE49-F238E27FC236}">
                <a16:creationId xmlns:a16="http://schemas.microsoft.com/office/drawing/2014/main" id="{00000000-0008-0000-0800-0000BF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3" y="4705"/>
            <a:ext cx="765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Otero County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2" name="Text Box 1728">
            <a:extLst>
              <a:ext uri="{FF2B5EF4-FFF2-40B4-BE49-F238E27FC236}">
                <a16:creationId xmlns:a16="http://schemas.microsoft.com/office/drawing/2014/main" id="{00000000-0008-0000-0800-0000C0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3358"/>
            <a:ext cx="771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Socorro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3" name="Text Box 1729">
            <a:extLst>
              <a:ext uri="{FF2B5EF4-FFF2-40B4-BE49-F238E27FC236}">
                <a16:creationId xmlns:a16="http://schemas.microsoft.com/office/drawing/2014/main" id="{00000000-0008-0000-0800-0000C1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18" y="1745"/>
            <a:ext cx="765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 Miguel County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4" name="Text Box 1730">
            <a:extLst>
              <a:ext uri="{FF2B5EF4-FFF2-40B4-BE49-F238E27FC236}">
                <a16:creationId xmlns:a16="http://schemas.microsoft.com/office/drawing/2014/main" id="{00000000-0008-0000-0800-0000C2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7" y="2694"/>
            <a:ext cx="377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Valencia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5" name="Text Box 1731">
            <a:extLst>
              <a:ext uri="{FF2B5EF4-FFF2-40B4-BE49-F238E27FC236}">
                <a16:creationId xmlns:a16="http://schemas.microsoft.com/office/drawing/2014/main" id="{00000000-0008-0000-0800-0000C3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0" y="2783"/>
            <a:ext cx="483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Torrance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6" name="Text Box 1732">
            <a:extLst>
              <a:ext uri="{FF2B5EF4-FFF2-40B4-BE49-F238E27FC236}">
                <a16:creationId xmlns:a16="http://schemas.microsoft.com/office/drawing/2014/main" id="{00000000-0008-0000-0800-0000C4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1" y="2255"/>
            <a:ext cx="577" cy="2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Guadalupe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7" name="Text Box 1733">
            <a:extLst>
              <a:ext uri="{FF2B5EF4-FFF2-40B4-BE49-F238E27FC236}">
                <a16:creationId xmlns:a16="http://schemas.microsoft.com/office/drawing/2014/main" id="{00000000-0008-0000-0800-0000C5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00" y="3169"/>
            <a:ext cx="430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Lincoln County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8" name="Text Box 1734">
            <a:extLst>
              <a:ext uri="{FF2B5EF4-FFF2-40B4-BE49-F238E27FC236}">
                <a16:creationId xmlns:a16="http://schemas.microsoft.com/office/drawing/2014/main" id="{00000000-0008-0000-0800-0000C6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72" y="2813"/>
            <a:ext cx="336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Curry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59" name="Text Box 1735">
            <a:extLst>
              <a:ext uri="{FF2B5EF4-FFF2-40B4-BE49-F238E27FC236}">
                <a16:creationId xmlns:a16="http://schemas.microsoft.com/office/drawing/2014/main" id="{00000000-0008-0000-0800-0000C7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83" y="2925"/>
            <a:ext cx="477" cy="2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 Baca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60" name="Text Box 1736">
            <a:extLst>
              <a:ext uri="{FF2B5EF4-FFF2-40B4-BE49-F238E27FC236}">
                <a16:creationId xmlns:a16="http://schemas.microsoft.com/office/drawing/2014/main" id="{00000000-0008-0000-0800-0000C8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1" y="3347"/>
            <a:ext cx="389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Roosevelt</a:t>
            </a: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61" name="Text Box 1737">
            <a:extLst>
              <a:ext uri="{FF2B5EF4-FFF2-40B4-BE49-F238E27FC236}">
                <a16:creationId xmlns:a16="http://schemas.microsoft.com/office/drawing/2014/main" id="{00000000-0008-0000-0800-0000C9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83" y="3507"/>
            <a:ext cx="477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Chaves County</a:t>
            </a:r>
          </a:p>
          <a:p>
            <a:pPr algn="l" rtl="0"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62" name="Text Box 1738">
            <a:extLst>
              <a:ext uri="{FF2B5EF4-FFF2-40B4-BE49-F238E27FC236}">
                <a16:creationId xmlns:a16="http://schemas.microsoft.com/office/drawing/2014/main" id="{00000000-0008-0000-0800-0000CA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6" y="4468"/>
            <a:ext cx="524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Eddy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0915" name="Freeform 1739">
            <a:extLst>
              <a:ext uri="{FF2B5EF4-FFF2-40B4-BE49-F238E27FC236}">
                <a16:creationId xmlns:a16="http://schemas.microsoft.com/office/drawing/2014/main" id="{00000000-0008-0000-0800-0000D3100300}"/>
              </a:ext>
            </a:extLst>
          </xdr:cNvPr>
          <xdr:cNvSpPr>
            <a:spLocks/>
          </xdr:cNvSpPr>
        </xdr:nvSpPr>
        <xdr:spPr bwMode="auto">
          <a:xfrm>
            <a:off x="1190" y="614"/>
            <a:ext cx="1252" cy="989"/>
          </a:xfrm>
          <a:custGeom>
            <a:avLst/>
            <a:gdLst>
              <a:gd name="T0" fmla="*/ 132 w 1252"/>
              <a:gd name="T1" fmla="*/ 0 h 989"/>
              <a:gd name="T2" fmla="*/ 348 w 1252"/>
              <a:gd name="T3" fmla="*/ 10 h 989"/>
              <a:gd name="T4" fmla="*/ 528 w 1252"/>
              <a:gd name="T5" fmla="*/ 13 h 989"/>
              <a:gd name="T6" fmla="*/ 697 w 1252"/>
              <a:gd name="T7" fmla="*/ 20 h 989"/>
              <a:gd name="T8" fmla="*/ 826 w 1252"/>
              <a:gd name="T9" fmla="*/ 26 h 989"/>
              <a:gd name="T10" fmla="*/ 958 w 1252"/>
              <a:gd name="T11" fmla="*/ 26 h 989"/>
              <a:gd name="T12" fmla="*/ 975 w 1252"/>
              <a:gd name="T13" fmla="*/ 28 h 989"/>
              <a:gd name="T14" fmla="*/ 979 w 1252"/>
              <a:gd name="T15" fmla="*/ 65 h 989"/>
              <a:gd name="T16" fmla="*/ 982 w 1252"/>
              <a:gd name="T17" fmla="*/ 122 h 989"/>
              <a:gd name="T18" fmla="*/ 985 w 1252"/>
              <a:gd name="T19" fmla="*/ 161 h 989"/>
              <a:gd name="T20" fmla="*/ 982 w 1252"/>
              <a:gd name="T21" fmla="*/ 206 h 989"/>
              <a:gd name="T22" fmla="*/ 985 w 1252"/>
              <a:gd name="T23" fmla="*/ 266 h 989"/>
              <a:gd name="T24" fmla="*/ 988 w 1252"/>
              <a:gd name="T25" fmla="*/ 350 h 989"/>
              <a:gd name="T26" fmla="*/ 988 w 1252"/>
              <a:gd name="T27" fmla="*/ 395 h 989"/>
              <a:gd name="T28" fmla="*/ 988 w 1252"/>
              <a:gd name="T29" fmla="*/ 437 h 989"/>
              <a:gd name="T30" fmla="*/ 994 w 1252"/>
              <a:gd name="T31" fmla="*/ 458 h 989"/>
              <a:gd name="T32" fmla="*/ 1006 w 1252"/>
              <a:gd name="T33" fmla="*/ 488 h 989"/>
              <a:gd name="T34" fmla="*/ 1003 w 1252"/>
              <a:gd name="T35" fmla="*/ 524 h 989"/>
              <a:gd name="T36" fmla="*/ 1000 w 1252"/>
              <a:gd name="T37" fmla="*/ 557 h 989"/>
              <a:gd name="T38" fmla="*/ 997 w 1252"/>
              <a:gd name="T39" fmla="*/ 590 h 989"/>
              <a:gd name="T40" fmla="*/ 982 w 1252"/>
              <a:gd name="T41" fmla="*/ 617 h 989"/>
              <a:gd name="T42" fmla="*/ 946 w 1252"/>
              <a:gd name="T43" fmla="*/ 641 h 989"/>
              <a:gd name="T44" fmla="*/ 942 w 1252"/>
              <a:gd name="T45" fmla="*/ 655 h 989"/>
              <a:gd name="T46" fmla="*/ 963 w 1252"/>
              <a:gd name="T47" fmla="*/ 664 h 989"/>
              <a:gd name="T48" fmla="*/ 1054 w 1252"/>
              <a:gd name="T49" fmla="*/ 726 h 989"/>
              <a:gd name="T50" fmla="*/ 1069 w 1252"/>
              <a:gd name="T51" fmla="*/ 749 h 989"/>
              <a:gd name="T52" fmla="*/ 1105 w 1252"/>
              <a:gd name="T53" fmla="*/ 812 h 989"/>
              <a:gd name="T54" fmla="*/ 1156 w 1252"/>
              <a:gd name="T55" fmla="*/ 862 h 989"/>
              <a:gd name="T56" fmla="*/ 1225 w 1252"/>
              <a:gd name="T57" fmla="*/ 902 h 989"/>
              <a:gd name="T58" fmla="*/ 1252 w 1252"/>
              <a:gd name="T59" fmla="*/ 917 h 989"/>
              <a:gd name="T60" fmla="*/ 1243 w 1252"/>
              <a:gd name="T61" fmla="*/ 938 h 989"/>
              <a:gd name="T62" fmla="*/ 1228 w 1252"/>
              <a:gd name="T63" fmla="*/ 951 h 989"/>
              <a:gd name="T64" fmla="*/ 1198 w 1252"/>
              <a:gd name="T65" fmla="*/ 953 h 989"/>
              <a:gd name="T66" fmla="*/ 1174 w 1252"/>
              <a:gd name="T67" fmla="*/ 959 h 989"/>
              <a:gd name="T68" fmla="*/ 1134 w 1252"/>
              <a:gd name="T69" fmla="*/ 955 h 989"/>
              <a:gd name="T70" fmla="*/ 1135 w 1252"/>
              <a:gd name="T71" fmla="*/ 924 h 989"/>
              <a:gd name="T72" fmla="*/ 937 w 1252"/>
              <a:gd name="T73" fmla="*/ 924 h 989"/>
              <a:gd name="T74" fmla="*/ 937 w 1252"/>
              <a:gd name="T75" fmla="*/ 985 h 989"/>
              <a:gd name="T76" fmla="*/ 828 w 1252"/>
              <a:gd name="T77" fmla="*/ 985 h 989"/>
              <a:gd name="T78" fmla="*/ 826 w 1252"/>
              <a:gd name="T79" fmla="*/ 989 h 989"/>
              <a:gd name="T80" fmla="*/ 828 w 1252"/>
              <a:gd name="T81" fmla="*/ 919 h 989"/>
              <a:gd name="T82" fmla="*/ 592 w 1252"/>
              <a:gd name="T83" fmla="*/ 919 h 989"/>
              <a:gd name="T84" fmla="*/ 441 w 1252"/>
              <a:gd name="T85" fmla="*/ 919 h 989"/>
              <a:gd name="T86" fmla="*/ 442 w 1252"/>
              <a:gd name="T87" fmla="*/ 699 h 989"/>
              <a:gd name="T88" fmla="*/ 0 w 1252"/>
              <a:gd name="T89" fmla="*/ 690 h 989"/>
              <a:gd name="T90" fmla="*/ 4 w 1252"/>
              <a:gd name="T91" fmla="*/ 388 h 989"/>
              <a:gd name="T92" fmla="*/ 10 w 1252"/>
              <a:gd name="T93" fmla="*/ 185 h 989"/>
              <a:gd name="T94" fmla="*/ 18 w 1252"/>
              <a:gd name="T95" fmla="*/ 159 h 989"/>
              <a:gd name="T96" fmla="*/ 109 w 1252"/>
              <a:gd name="T97" fmla="*/ 88 h 989"/>
              <a:gd name="T98" fmla="*/ 111 w 1252"/>
              <a:gd name="T99" fmla="*/ 45 h 989"/>
              <a:gd name="T100" fmla="*/ 130 w 1252"/>
              <a:gd name="T101" fmla="*/ 25 h 989"/>
              <a:gd name="T102" fmla="*/ 132 w 1252"/>
              <a:gd name="T103" fmla="*/ 0 h 989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252"/>
              <a:gd name="T157" fmla="*/ 0 h 989"/>
              <a:gd name="T158" fmla="*/ 1252 w 1252"/>
              <a:gd name="T159" fmla="*/ 989 h 989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252" h="989">
                <a:moveTo>
                  <a:pt x="132" y="0"/>
                </a:moveTo>
                <a:lnTo>
                  <a:pt x="348" y="10"/>
                </a:lnTo>
                <a:lnTo>
                  <a:pt x="528" y="13"/>
                </a:lnTo>
                <a:lnTo>
                  <a:pt x="697" y="20"/>
                </a:lnTo>
                <a:lnTo>
                  <a:pt x="826" y="26"/>
                </a:lnTo>
                <a:lnTo>
                  <a:pt x="958" y="26"/>
                </a:lnTo>
                <a:lnTo>
                  <a:pt x="975" y="28"/>
                </a:lnTo>
                <a:lnTo>
                  <a:pt x="979" y="65"/>
                </a:lnTo>
                <a:lnTo>
                  <a:pt x="982" y="122"/>
                </a:lnTo>
                <a:lnTo>
                  <a:pt x="985" y="161"/>
                </a:lnTo>
                <a:lnTo>
                  <a:pt x="982" y="206"/>
                </a:lnTo>
                <a:lnTo>
                  <a:pt x="985" y="266"/>
                </a:lnTo>
                <a:lnTo>
                  <a:pt x="988" y="350"/>
                </a:lnTo>
                <a:lnTo>
                  <a:pt x="988" y="395"/>
                </a:lnTo>
                <a:lnTo>
                  <a:pt x="988" y="437"/>
                </a:lnTo>
                <a:lnTo>
                  <a:pt x="994" y="458"/>
                </a:lnTo>
                <a:lnTo>
                  <a:pt x="1006" y="488"/>
                </a:lnTo>
                <a:lnTo>
                  <a:pt x="1003" y="524"/>
                </a:lnTo>
                <a:lnTo>
                  <a:pt x="1000" y="557"/>
                </a:lnTo>
                <a:lnTo>
                  <a:pt x="997" y="590"/>
                </a:lnTo>
                <a:lnTo>
                  <a:pt x="982" y="617"/>
                </a:lnTo>
                <a:lnTo>
                  <a:pt x="946" y="641"/>
                </a:lnTo>
                <a:lnTo>
                  <a:pt x="942" y="655"/>
                </a:lnTo>
                <a:lnTo>
                  <a:pt x="963" y="664"/>
                </a:lnTo>
                <a:lnTo>
                  <a:pt x="1054" y="726"/>
                </a:lnTo>
                <a:lnTo>
                  <a:pt x="1069" y="749"/>
                </a:lnTo>
                <a:lnTo>
                  <a:pt x="1105" y="812"/>
                </a:lnTo>
                <a:lnTo>
                  <a:pt x="1156" y="862"/>
                </a:lnTo>
                <a:lnTo>
                  <a:pt x="1225" y="902"/>
                </a:lnTo>
                <a:lnTo>
                  <a:pt x="1252" y="917"/>
                </a:lnTo>
                <a:lnTo>
                  <a:pt x="1243" y="938"/>
                </a:lnTo>
                <a:lnTo>
                  <a:pt x="1228" y="951"/>
                </a:lnTo>
                <a:lnTo>
                  <a:pt x="1198" y="953"/>
                </a:lnTo>
                <a:lnTo>
                  <a:pt x="1174" y="959"/>
                </a:lnTo>
                <a:cubicBezTo>
                  <a:pt x="1137" y="962"/>
                  <a:pt x="1140" y="961"/>
                  <a:pt x="1134" y="955"/>
                </a:cubicBezTo>
                <a:lnTo>
                  <a:pt x="1135" y="924"/>
                </a:lnTo>
                <a:lnTo>
                  <a:pt x="937" y="924"/>
                </a:lnTo>
                <a:lnTo>
                  <a:pt x="937" y="985"/>
                </a:lnTo>
                <a:lnTo>
                  <a:pt x="828" y="985"/>
                </a:lnTo>
                <a:lnTo>
                  <a:pt x="826" y="989"/>
                </a:lnTo>
                <a:lnTo>
                  <a:pt x="828" y="919"/>
                </a:lnTo>
                <a:lnTo>
                  <a:pt x="592" y="919"/>
                </a:lnTo>
                <a:lnTo>
                  <a:pt x="441" y="919"/>
                </a:lnTo>
                <a:lnTo>
                  <a:pt x="442" y="699"/>
                </a:lnTo>
                <a:lnTo>
                  <a:pt x="0" y="690"/>
                </a:lnTo>
                <a:lnTo>
                  <a:pt x="4" y="388"/>
                </a:lnTo>
                <a:lnTo>
                  <a:pt x="10" y="185"/>
                </a:lnTo>
                <a:lnTo>
                  <a:pt x="18" y="159"/>
                </a:lnTo>
                <a:lnTo>
                  <a:pt x="109" y="88"/>
                </a:lnTo>
                <a:lnTo>
                  <a:pt x="111" y="45"/>
                </a:lnTo>
                <a:lnTo>
                  <a:pt x="130" y="25"/>
                </a:lnTo>
                <a:lnTo>
                  <a:pt x="132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16" name="Freeform 1740">
            <a:extLst>
              <a:ext uri="{FF2B5EF4-FFF2-40B4-BE49-F238E27FC236}">
                <a16:creationId xmlns:a16="http://schemas.microsoft.com/office/drawing/2014/main" id="{00000000-0008-0000-0800-0000D4100300}"/>
              </a:ext>
            </a:extLst>
          </xdr:cNvPr>
          <xdr:cNvSpPr>
            <a:spLocks/>
          </xdr:cNvSpPr>
        </xdr:nvSpPr>
        <xdr:spPr bwMode="auto">
          <a:xfrm>
            <a:off x="2133" y="642"/>
            <a:ext cx="507" cy="882"/>
          </a:xfrm>
          <a:custGeom>
            <a:avLst/>
            <a:gdLst>
              <a:gd name="T0" fmla="*/ 38 w 507"/>
              <a:gd name="T1" fmla="*/ 2 h 882"/>
              <a:gd name="T2" fmla="*/ 489 w 507"/>
              <a:gd name="T3" fmla="*/ 0 h 882"/>
              <a:gd name="T4" fmla="*/ 483 w 507"/>
              <a:gd name="T5" fmla="*/ 27 h 882"/>
              <a:gd name="T6" fmla="*/ 489 w 507"/>
              <a:gd name="T7" fmla="*/ 48 h 882"/>
              <a:gd name="T8" fmla="*/ 507 w 507"/>
              <a:gd name="T9" fmla="*/ 72 h 882"/>
              <a:gd name="T10" fmla="*/ 504 w 507"/>
              <a:gd name="T11" fmla="*/ 96 h 882"/>
              <a:gd name="T12" fmla="*/ 492 w 507"/>
              <a:gd name="T13" fmla="*/ 114 h 882"/>
              <a:gd name="T14" fmla="*/ 492 w 507"/>
              <a:gd name="T15" fmla="*/ 134 h 882"/>
              <a:gd name="T16" fmla="*/ 495 w 507"/>
              <a:gd name="T17" fmla="*/ 165 h 882"/>
              <a:gd name="T18" fmla="*/ 492 w 507"/>
              <a:gd name="T19" fmla="*/ 195 h 882"/>
              <a:gd name="T20" fmla="*/ 492 w 507"/>
              <a:gd name="T21" fmla="*/ 222 h 882"/>
              <a:gd name="T22" fmla="*/ 483 w 507"/>
              <a:gd name="T23" fmla="*/ 249 h 882"/>
              <a:gd name="T24" fmla="*/ 456 w 507"/>
              <a:gd name="T25" fmla="*/ 243 h 882"/>
              <a:gd name="T26" fmla="*/ 428 w 507"/>
              <a:gd name="T27" fmla="*/ 269 h 882"/>
              <a:gd name="T28" fmla="*/ 414 w 507"/>
              <a:gd name="T29" fmla="*/ 282 h 882"/>
              <a:gd name="T30" fmla="*/ 411 w 507"/>
              <a:gd name="T31" fmla="*/ 306 h 882"/>
              <a:gd name="T32" fmla="*/ 414 w 507"/>
              <a:gd name="T33" fmla="*/ 347 h 882"/>
              <a:gd name="T34" fmla="*/ 413 w 507"/>
              <a:gd name="T35" fmla="*/ 366 h 882"/>
              <a:gd name="T36" fmla="*/ 417 w 507"/>
              <a:gd name="T37" fmla="*/ 420 h 882"/>
              <a:gd name="T38" fmla="*/ 429 w 507"/>
              <a:gd name="T39" fmla="*/ 444 h 882"/>
              <a:gd name="T40" fmla="*/ 429 w 507"/>
              <a:gd name="T41" fmla="*/ 462 h 882"/>
              <a:gd name="T42" fmla="*/ 417 w 507"/>
              <a:gd name="T43" fmla="*/ 501 h 882"/>
              <a:gd name="T44" fmla="*/ 426 w 507"/>
              <a:gd name="T45" fmla="*/ 522 h 882"/>
              <a:gd name="T46" fmla="*/ 426 w 507"/>
              <a:gd name="T47" fmla="*/ 567 h 882"/>
              <a:gd name="T48" fmla="*/ 429 w 507"/>
              <a:gd name="T49" fmla="*/ 606 h 882"/>
              <a:gd name="T50" fmla="*/ 423 w 507"/>
              <a:gd name="T51" fmla="*/ 627 h 882"/>
              <a:gd name="T52" fmla="*/ 411 w 507"/>
              <a:gd name="T53" fmla="*/ 657 h 882"/>
              <a:gd name="T54" fmla="*/ 372 w 507"/>
              <a:gd name="T55" fmla="*/ 696 h 882"/>
              <a:gd name="T56" fmla="*/ 363 w 507"/>
              <a:gd name="T57" fmla="*/ 714 h 882"/>
              <a:gd name="T58" fmla="*/ 378 w 507"/>
              <a:gd name="T59" fmla="*/ 759 h 882"/>
              <a:gd name="T60" fmla="*/ 375 w 507"/>
              <a:gd name="T61" fmla="*/ 783 h 882"/>
              <a:gd name="T62" fmla="*/ 360 w 507"/>
              <a:gd name="T63" fmla="*/ 804 h 882"/>
              <a:gd name="T64" fmla="*/ 363 w 507"/>
              <a:gd name="T65" fmla="*/ 822 h 882"/>
              <a:gd name="T66" fmla="*/ 354 w 507"/>
              <a:gd name="T67" fmla="*/ 849 h 882"/>
              <a:gd name="T68" fmla="*/ 345 w 507"/>
              <a:gd name="T69" fmla="*/ 849 h 882"/>
              <a:gd name="T70" fmla="*/ 327 w 507"/>
              <a:gd name="T71" fmla="*/ 870 h 882"/>
              <a:gd name="T72" fmla="*/ 303 w 507"/>
              <a:gd name="T73" fmla="*/ 882 h 882"/>
              <a:gd name="T74" fmla="*/ 252 w 507"/>
              <a:gd name="T75" fmla="*/ 852 h 882"/>
              <a:gd name="T76" fmla="*/ 201 w 507"/>
              <a:gd name="T77" fmla="*/ 822 h 882"/>
              <a:gd name="T78" fmla="*/ 174 w 507"/>
              <a:gd name="T79" fmla="*/ 792 h 882"/>
              <a:gd name="T80" fmla="*/ 144 w 507"/>
              <a:gd name="T81" fmla="*/ 744 h 882"/>
              <a:gd name="T82" fmla="*/ 117 w 507"/>
              <a:gd name="T83" fmla="*/ 702 h 882"/>
              <a:gd name="T84" fmla="*/ 102 w 507"/>
              <a:gd name="T85" fmla="*/ 690 h 882"/>
              <a:gd name="T86" fmla="*/ 63 w 507"/>
              <a:gd name="T87" fmla="*/ 660 h 882"/>
              <a:gd name="T88" fmla="*/ 14 w 507"/>
              <a:gd name="T89" fmla="*/ 635 h 882"/>
              <a:gd name="T90" fmla="*/ 0 w 507"/>
              <a:gd name="T91" fmla="*/ 618 h 882"/>
              <a:gd name="T92" fmla="*/ 27 w 507"/>
              <a:gd name="T93" fmla="*/ 594 h 882"/>
              <a:gd name="T94" fmla="*/ 48 w 507"/>
              <a:gd name="T95" fmla="*/ 576 h 882"/>
              <a:gd name="T96" fmla="*/ 54 w 507"/>
              <a:gd name="T97" fmla="*/ 546 h 882"/>
              <a:gd name="T98" fmla="*/ 57 w 507"/>
              <a:gd name="T99" fmla="*/ 507 h 882"/>
              <a:gd name="T100" fmla="*/ 63 w 507"/>
              <a:gd name="T101" fmla="*/ 486 h 882"/>
              <a:gd name="T102" fmla="*/ 63 w 507"/>
              <a:gd name="T103" fmla="*/ 456 h 882"/>
              <a:gd name="T104" fmla="*/ 54 w 507"/>
              <a:gd name="T105" fmla="*/ 440 h 882"/>
              <a:gd name="T106" fmla="*/ 51 w 507"/>
              <a:gd name="T107" fmla="*/ 414 h 882"/>
              <a:gd name="T108" fmla="*/ 45 w 507"/>
              <a:gd name="T109" fmla="*/ 252 h 882"/>
              <a:gd name="T110" fmla="*/ 39 w 507"/>
              <a:gd name="T111" fmla="*/ 204 h 882"/>
              <a:gd name="T112" fmla="*/ 45 w 507"/>
              <a:gd name="T113" fmla="*/ 114 h 882"/>
              <a:gd name="T114" fmla="*/ 39 w 507"/>
              <a:gd name="T115" fmla="*/ 81 h 882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507"/>
              <a:gd name="T175" fmla="*/ 0 h 882"/>
              <a:gd name="T176" fmla="*/ 507 w 507"/>
              <a:gd name="T177" fmla="*/ 882 h 882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507" h="882">
                <a:moveTo>
                  <a:pt x="38" y="2"/>
                </a:moveTo>
                <a:lnTo>
                  <a:pt x="489" y="0"/>
                </a:lnTo>
                <a:lnTo>
                  <a:pt x="483" y="27"/>
                </a:lnTo>
                <a:lnTo>
                  <a:pt x="489" y="48"/>
                </a:lnTo>
                <a:lnTo>
                  <a:pt x="507" y="72"/>
                </a:lnTo>
                <a:lnTo>
                  <a:pt x="504" y="96"/>
                </a:lnTo>
                <a:lnTo>
                  <a:pt x="492" y="114"/>
                </a:lnTo>
                <a:lnTo>
                  <a:pt x="492" y="134"/>
                </a:lnTo>
                <a:lnTo>
                  <a:pt x="495" y="165"/>
                </a:lnTo>
                <a:lnTo>
                  <a:pt x="492" y="195"/>
                </a:lnTo>
                <a:lnTo>
                  <a:pt x="492" y="222"/>
                </a:lnTo>
                <a:lnTo>
                  <a:pt x="483" y="249"/>
                </a:lnTo>
                <a:lnTo>
                  <a:pt x="456" y="243"/>
                </a:lnTo>
                <a:lnTo>
                  <a:pt x="428" y="269"/>
                </a:lnTo>
                <a:cubicBezTo>
                  <a:pt x="412" y="279"/>
                  <a:pt x="414" y="273"/>
                  <a:pt x="414" y="282"/>
                </a:cubicBezTo>
                <a:lnTo>
                  <a:pt x="411" y="306"/>
                </a:lnTo>
                <a:lnTo>
                  <a:pt x="414" y="347"/>
                </a:lnTo>
                <a:lnTo>
                  <a:pt x="413" y="366"/>
                </a:lnTo>
                <a:lnTo>
                  <a:pt x="417" y="420"/>
                </a:lnTo>
                <a:lnTo>
                  <a:pt x="429" y="444"/>
                </a:lnTo>
                <a:lnTo>
                  <a:pt x="429" y="462"/>
                </a:lnTo>
                <a:lnTo>
                  <a:pt x="417" y="501"/>
                </a:lnTo>
                <a:lnTo>
                  <a:pt x="426" y="522"/>
                </a:lnTo>
                <a:lnTo>
                  <a:pt x="426" y="567"/>
                </a:lnTo>
                <a:lnTo>
                  <a:pt x="429" y="606"/>
                </a:lnTo>
                <a:lnTo>
                  <a:pt x="423" y="627"/>
                </a:lnTo>
                <a:cubicBezTo>
                  <a:pt x="420" y="635"/>
                  <a:pt x="419" y="646"/>
                  <a:pt x="411" y="657"/>
                </a:cubicBezTo>
                <a:cubicBezTo>
                  <a:pt x="403" y="668"/>
                  <a:pt x="380" y="687"/>
                  <a:pt x="372" y="696"/>
                </a:cubicBezTo>
                <a:lnTo>
                  <a:pt x="363" y="714"/>
                </a:lnTo>
                <a:lnTo>
                  <a:pt x="378" y="759"/>
                </a:lnTo>
                <a:lnTo>
                  <a:pt x="375" y="783"/>
                </a:lnTo>
                <a:lnTo>
                  <a:pt x="360" y="804"/>
                </a:lnTo>
                <a:lnTo>
                  <a:pt x="363" y="822"/>
                </a:lnTo>
                <a:cubicBezTo>
                  <a:pt x="360" y="831"/>
                  <a:pt x="360" y="841"/>
                  <a:pt x="354" y="849"/>
                </a:cubicBezTo>
                <a:cubicBezTo>
                  <a:pt x="344" y="862"/>
                  <a:pt x="345" y="838"/>
                  <a:pt x="345" y="849"/>
                </a:cubicBezTo>
                <a:lnTo>
                  <a:pt x="327" y="870"/>
                </a:lnTo>
                <a:lnTo>
                  <a:pt x="303" y="882"/>
                </a:lnTo>
                <a:lnTo>
                  <a:pt x="252" y="852"/>
                </a:lnTo>
                <a:lnTo>
                  <a:pt x="201" y="822"/>
                </a:lnTo>
                <a:lnTo>
                  <a:pt x="174" y="792"/>
                </a:lnTo>
                <a:cubicBezTo>
                  <a:pt x="164" y="776"/>
                  <a:pt x="144" y="744"/>
                  <a:pt x="144" y="744"/>
                </a:cubicBezTo>
                <a:lnTo>
                  <a:pt x="117" y="702"/>
                </a:lnTo>
                <a:lnTo>
                  <a:pt x="102" y="690"/>
                </a:lnTo>
                <a:lnTo>
                  <a:pt x="63" y="660"/>
                </a:lnTo>
                <a:lnTo>
                  <a:pt x="14" y="635"/>
                </a:lnTo>
                <a:lnTo>
                  <a:pt x="0" y="618"/>
                </a:lnTo>
                <a:lnTo>
                  <a:pt x="27" y="594"/>
                </a:lnTo>
                <a:lnTo>
                  <a:pt x="48" y="576"/>
                </a:lnTo>
                <a:lnTo>
                  <a:pt x="54" y="546"/>
                </a:lnTo>
                <a:lnTo>
                  <a:pt x="57" y="507"/>
                </a:lnTo>
                <a:lnTo>
                  <a:pt x="63" y="486"/>
                </a:lnTo>
                <a:lnTo>
                  <a:pt x="63" y="456"/>
                </a:lnTo>
                <a:lnTo>
                  <a:pt x="54" y="440"/>
                </a:lnTo>
                <a:lnTo>
                  <a:pt x="51" y="414"/>
                </a:lnTo>
                <a:lnTo>
                  <a:pt x="45" y="252"/>
                </a:lnTo>
                <a:lnTo>
                  <a:pt x="39" y="204"/>
                </a:lnTo>
                <a:lnTo>
                  <a:pt x="45" y="114"/>
                </a:lnTo>
                <a:lnTo>
                  <a:pt x="39" y="81"/>
                </a:lnTo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65" name="Text Box 1741">
            <a:extLst>
              <a:ext uri="{FF2B5EF4-FFF2-40B4-BE49-F238E27FC236}">
                <a16:creationId xmlns:a16="http://schemas.microsoft.com/office/drawing/2014/main" id="{00000000-0008-0000-0800-0000CD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" y="623"/>
            <a:ext cx="383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Shiprock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0918" name="Freeform 1742">
            <a:extLst>
              <a:ext uri="{FF2B5EF4-FFF2-40B4-BE49-F238E27FC236}">
                <a16:creationId xmlns:a16="http://schemas.microsoft.com/office/drawing/2014/main" id="{00000000-0008-0000-0800-0000D6100300}"/>
              </a:ext>
            </a:extLst>
          </xdr:cNvPr>
          <xdr:cNvSpPr>
            <a:spLocks/>
          </xdr:cNvSpPr>
        </xdr:nvSpPr>
        <xdr:spPr bwMode="auto">
          <a:xfrm>
            <a:off x="2814" y="4296"/>
            <a:ext cx="60" cy="870"/>
          </a:xfrm>
          <a:custGeom>
            <a:avLst/>
            <a:gdLst>
              <a:gd name="T0" fmla="*/ 24 w 60"/>
              <a:gd name="T1" fmla="*/ 870 h 870"/>
              <a:gd name="T2" fmla="*/ 36 w 60"/>
              <a:gd name="T3" fmla="*/ 672 h 870"/>
              <a:gd name="T4" fmla="*/ 51 w 60"/>
              <a:gd name="T5" fmla="*/ 534 h 870"/>
              <a:gd name="T6" fmla="*/ 3 w 60"/>
              <a:gd name="T7" fmla="*/ 261 h 870"/>
              <a:gd name="T8" fmla="*/ 30 w 60"/>
              <a:gd name="T9" fmla="*/ 240 h 870"/>
              <a:gd name="T10" fmla="*/ 36 w 60"/>
              <a:gd name="T11" fmla="*/ 213 h 870"/>
              <a:gd name="T12" fmla="*/ 36 w 60"/>
              <a:gd name="T13" fmla="*/ 120 h 870"/>
              <a:gd name="T14" fmla="*/ 24 w 60"/>
              <a:gd name="T15" fmla="*/ 63 h 870"/>
              <a:gd name="T16" fmla="*/ 30 w 60"/>
              <a:gd name="T17" fmla="*/ 0 h 870"/>
              <a:gd name="T18" fmla="*/ 24 w 60"/>
              <a:gd name="T19" fmla="*/ 870 h 87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60"/>
              <a:gd name="T31" fmla="*/ 0 h 870"/>
              <a:gd name="T32" fmla="*/ 60 w 60"/>
              <a:gd name="T33" fmla="*/ 870 h 87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60" h="870">
                <a:moveTo>
                  <a:pt x="24" y="870"/>
                </a:moveTo>
                <a:cubicBezTo>
                  <a:pt x="41" y="810"/>
                  <a:pt x="34" y="732"/>
                  <a:pt x="36" y="672"/>
                </a:cubicBezTo>
                <a:cubicBezTo>
                  <a:pt x="38" y="626"/>
                  <a:pt x="48" y="580"/>
                  <a:pt x="51" y="534"/>
                </a:cubicBezTo>
                <a:cubicBezTo>
                  <a:pt x="49" y="428"/>
                  <a:pt x="60" y="347"/>
                  <a:pt x="3" y="261"/>
                </a:cubicBezTo>
                <a:cubicBezTo>
                  <a:pt x="10" y="240"/>
                  <a:pt x="0" y="263"/>
                  <a:pt x="30" y="240"/>
                </a:cubicBezTo>
                <a:cubicBezTo>
                  <a:pt x="37" y="234"/>
                  <a:pt x="34" y="222"/>
                  <a:pt x="36" y="213"/>
                </a:cubicBezTo>
                <a:cubicBezTo>
                  <a:pt x="30" y="183"/>
                  <a:pt x="36" y="151"/>
                  <a:pt x="36" y="120"/>
                </a:cubicBezTo>
                <a:lnTo>
                  <a:pt x="24" y="63"/>
                </a:lnTo>
                <a:lnTo>
                  <a:pt x="30" y="0"/>
                </a:lnTo>
                <a:lnTo>
                  <a:pt x="24" y="870"/>
                </a:lnTo>
                <a:close/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  <xdr:sp macro="" textlink="">
        <xdr:nvSpPr>
          <xdr:cNvPr id="200919" name="Freeform 1743">
            <a:extLst>
              <a:ext uri="{FF2B5EF4-FFF2-40B4-BE49-F238E27FC236}">
                <a16:creationId xmlns:a16="http://schemas.microsoft.com/office/drawing/2014/main" id="{00000000-0008-0000-0800-0000D7100300}"/>
              </a:ext>
            </a:extLst>
          </xdr:cNvPr>
          <xdr:cNvSpPr>
            <a:spLocks/>
          </xdr:cNvSpPr>
        </xdr:nvSpPr>
        <xdr:spPr bwMode="auto">
          <a:xfrm>
            <a:off x="2838" y="4292"/>
            <a:ext cx="708" cy="877"/>
          </a:xfrm>
          <a:custGeom>
            <a:avLst/>
            <a:gdLst>
              <a:gd name="T0" fmla="*/ 0 w 708"/>
              <a:gd name="T1" fmla="*/ 873 h 877"/>
              <a:gd name="T2" fmla="*/ 0 w 708"/>
              <a:gd name="T3" fmla="*/ 562 h 877"/>
              <a:gd name="T4" fmla="*/ 0 w 708"/>
              <a:gd name="T5" fmla="*/ 337 h 877"/>
              <a:gd name="T6" fmla="*/ 3 w 708"/>
              <a:gd name="T7" fmla="*/ 1 h 877"/>
              <a:gd name="T8" fmla="*/ 645 w 708"/>
              <a:gd name="T9" fmla="*/ 0 h 877"/>
              <a:gd name="T10" fmla="*/ 642 w 708"/>
              <a:gd name="T11" fmla="*/ 151 h 877"/>
              <a:gd name="T12" fmla="*/ 651 w 708"/>
              <a:gd name="T13" fmla="*/ 409 h 877"/>
              <a:gd name="T14" fmla="*/ 708 w 708"/>
              <a:gd name="T15" fmla="*/ 406 h 877"/>
              <a:gd name="T16" fmla="*/ 707 w 708"/>
              <a:gd name="T17" fmla="*/ 877 h 877"/>
              <a:gd name="T18" fmla="*/ 0 w 708"/>
              <a:gd name="T19" fmla="*/ 873 h 877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708"/>
              <a:gd name="T31" fmla="*/ 0 h 877"/>
              <a:gd name="T32" fmla="*/ 708 w 708"/>
              <a:gd name="T33" fmla="*/ 877 h 877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708" h="877">
                <a:moveTo>
                  <a:pt x="0" y="873"/>
                </a:moveTo>
                <a:lnTo>
                  <a:pt x="0" y="562"/>
                </a:lnTo>
                <a:lnTo>
                  <a:pt x="0" y="337"/>
                </a:lnTo>
                <a:lnTo>
                  <a:pt x="3" y="1"/>
                </a:lnTo>
                <a:lnTo>
                  <a:pt x="645" y="0"/>
                </a:lnTo>
                <a:lnTo>
                  <a:pt x="642" y="151"/>
                </a:lnTo>
                <a:lnTo>
                  <a:pt x="651" y="409"/>
                </a:lnTo>
                <a:lnTo>
                  <a:pt x="708" y="406"/>
                </a:lnTo>
                <a:lnTo>
                  <a:pt x="707" y="877"/>
                </a:lnTo>
                <a:lnTo>
                  <a:pt x="0" y="873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68" name="Text Box 1744">
            <a:extLst>
              <a:ext uri="{FF2B5EF4-FFF2-40B4-BE49-F238E27FC236}">
                <a16:creationId xmlns:a16="http://schemas.microsoft.com/office/drawing/2014/main" id="{00000000-0008-0000-0800-0000D0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60" y="4248"/>
            <a:ext cx="430" cy="2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Lea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0921" name="Freeform 1745">
            <a:extLst>
              <a:ext uri="{FF2B5EF4-FFF2-40B4-BE49-F238E27FC236}">
                <a16:creationId xmlns:a16="http://schemas.microsoft.com/office/drawing/2014/main" id="{00000000-0008-0000-0800-0000D9100300}"/>
              </a:ext>
            </a:extLst>
          </xdr:cNvPr>
          <xdr:cNvSpPr>
            <a:spLocks/>
          </xdr:cNvSpPr>
        </xdr:nvSpPr>
        <xdr:spPr bwMode="auto">
          <a:xfrm>
            <a:off x="3483" y="3738"/>
            <a:ext cx="477" cy="1437"/>
          </a:xfrm>
          <a:custGeom>
            <a:avLst/>
            <a:gdLst>
              <a:gd name="T0" fmla="*/ 477 w 477"/>
              <a:gd name="T1" fmla="*/ 0 h 1437"/>
              <a:gd name="T2" fmla="*/ 63 w 477"/>
              <a:gd name="T3" fmla="*/ 3 h 1437"/>
              <a:gd name="T4" fmla="*/ 60 w 477"/>
              <a:gd name="T5" fmla="*/ 162 h 1437"/>
              <a:gd name="T6" fmla="*/ 33 w 477"/>
              <a:gd name="T7" fmla="*/ 165 h 1437"/>
              <a:gd name="T8" fmla="*/ 30 w 477"/>
              <a:gd name="T9" fmla="*/ 555 h 1437"/>
              <a:gd name="T10" fmla="*/ 0 w 477"/>
              <a:gd name="T11" fmla="*/ 554 h 1437"/>
              <a:gd name="T12" fmla="*/ 6 w 477"/>
              <a:gd name="T13" fmla="*/ 963 h 1437"/>
              <a:gd name="T14" fmla="*/ 65 w 477"/>
              <a:gd name="T15" fmla="*/ 962 h 1437"/>
              <a:gd name="T16" fmla="*/ 65 w 477"/>
              <a:gd name="T17" fmla="*/ 1433 h 1437"/>
              <a:gd name="T18" fmla="*/ 477 w 477"/>
              <a:gd name="T19" fmla="*/ 1437 h 1437"/>
              <a:gd name="T20" fmla="*/ 477 w 477"/>
              <a:gd name="T21" fmla="*/ 20 h 1437"/>
              <a:gd name="T22" fmla="*/ 477 w 477"/>
              <a:gd name="T23" fmla="*/ 0 h 1437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477"/>
              <a:gd name="T37" fmla="*/ 0 h 1437"/>
              <a:gd name="T38" fmla="*/ 477 w 477"/>
              <a:gd name="T39" fmla="*/ 1437 h 1437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477" h="1437">
                <a:moveTo>
                  <a:pt x="477" y="0"/>
                </a:moveTo>
                <a:lnTo>
                  <a:pt x="63" y="3"/>
                </a:lnTo>
                <a:lnTo>
                  <a:pt x="60" y="162"/>
                </a:lnTo>
                <a:lnTo>
                  <a:pt x="33" y="165"/>
                </a:lnTo>
                <a:lnTo>
                  <a:pt x="30" y="555"/>
                </a:lnTo>
                <a:lnTo>
                  <a:pt x="0" y="554"/>
                </a:lnTo>
                <a:lnTo>
                  <a:pt x="6" y="963"/>
                </a:lnTo>
                <a:lnTo>
                  <a:pt x="65" y="962"/>
                </a:lnTo>
                <a:lnTo>
                  <a:pt x="65" y="1433"/>
                </a:lnTo>
                <a:lnTo>
                  <a:pt x="477" y="1437"/>
                </a:lnTo>
                <a:lnTo>
                  <a:pt x="477" y="20"/>
                </a:lnTo>
                <a:lnTo>
                  <a:pt x="477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2" name="Freeform 1746">
            <a:extLst>
              <a:ext uri="{FF2B5EF4-FFF2-40B4-BE49-F238E27FC236}">
                <a16:creationId xmlns:a16="http://schemas.microsoft.com/office/drawing/2014/main" id="{00000000-0008-0000-0800-0000DA100300}"/>
              </a:ext>
            </a:extLst>
          </xdr:cNvPr>
          <xdr:cNvSpPr>
            <a:spLocks/>
          </xdr:cNvSpPr>
        </xdr:nvSpPr>
        <xdr:spPr bwMode="auto">
          <a:xfrm>
            <a:off x="2523" y="3273"/>
            <a:ext cx="1155" cy="1425"/>
          </a:xfrm>
          <a:custGeom>
            <a:avLst/>
            <a:gdLst>
              <a:gd name="T0" fmla="*/ 294 w 1155"/>
              <a:gd name="T1" fmla="*/ 0 h 1425"/>
              <a:gd name="T2" fmla="*/ 284 w 1155"/>
              <a:gd name="T3" fmla="*/ 707 h 1425"/>
              <a:gd name="T4" fmla="*/ 279 w 1155"/>
              <a:gd name="T5" fmla="*/ 858 h 1425"/>
              <a:gd name="T6" fmla="*/ 24 w 1155"/>
              <a:gd name="T7" fmla="*/ 864 h 1425"/>
              <a:gd name="T8" fmla="*/ 21 w 1155"/>
              <a:gd name="T9" fmla="*/ 1020 h 1425"/>
              <a:gd name="T10" fmla="*/ 3 w 1155"/>
              <a:gd name="T11" fmla="*/ 1020 h 1425"/>
              <a:gd name="T12" fmla="*/ 0 w 1155"/>
              <a:gd name="T13" fmla="*/ 1422 h 1425"/>
              <a:gd name="T14" fmla="*/ 318 w 1155"/>
              <a:gd name="T15" fmla="*/ 1425 h 1425"/>
              <a:gd name="T16" fmla="*/ 320 w 1155"/>
              <a:gd name="T17" fmla="*/ 1019 h 1425"/>
              <a:gd name="T18" fmla="*/ 996 w 1155"/>
              <a:gd name="T19" fmla="*/ 1019 h 1425"/>
              <a:gd name="T20" fmla="*/ 993 w 1155"/>
              <a:gd name="T21" fmla="*/ 629 h 1425"/>
              <a:gd name="T22" fmla="*/ 1028 w 1155"/>
              <a:gd name="T23" fmla="*/ 629 h 1425"/>
              <a:gd name="T24" fmla="*/ 1026 w 1155"/>
              <a:gd name="T25" fmla="*/ 471 h 1425"/>
              <a:gd name="T26" fmla="*/ 1155 w 1155"/>
              <a:gd name="T27" fmla="*/ 468 h 1425"/>
              <a:gd name="T28" fmla="*/ 1152 w 1155"/>
              <a:gd name="T29" fmla="*/ 390 h 1425"/>
              <a:gd name="T30" fmla="*/ 1023 w 1155"/>
              <a:gd name="T31" fmla="*/ 390 h 1425"/>
              <a:gd name="T32" fmla="*/ 1026 w 1155"/>
              <a:gd name="T33" fmla="*/ 237 h 1425"/>
              <a:gd name="T34" fmla="*/ 948 w 1155"/>
              <a:gd name="T35" fmla="*/ 237 h 1425"/>
              <a:gd name="T36" fmla="*/ 945 w 1155"/>
              <a:gd name="T37" fmla="*/ 6 h 1425"/>
              <a:gd name="T38" fmla="*/ 753 w 1155"/>
              <a:gd name="T39" fmla="*/ 6 h 1425"/>
              <a:gd name="T40" fmla="*/ 750 w 1155"/>
              <a:gd name="T41" fmla="*/ 84 h 1425"/>
              <a:gd name="T42" fmla="*/ 360 w 1155"/>
              <a:gd name="T43" fmla="*/ 81 h 1425"/>
              <a:gd name="T44" fmla="*/ 357 w 1155"/>
              <a:gd name="T45" fmla="*/ 0 h 1425"/>
              <a:gd name="T46" fmla="*/ 294 w 1155"/>
              <a:gd name="T47" fmla="*/ 0 h 1425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1155"/>
              <a:gd name="T73" fmla="*/ 0 h 1425"/>
              <a:gd name="T74" fmla="*/ 1155 w 1155"/>
              <a:gd name="T75" fmla="*/ 1425 h 1425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1155" h="1425">
                <a:moveTo>
                  <a:pt x="294" y="0"/>
                </a:moveTo>
                <a:lnTo>
                  <a:pt x="284" y="707"/>
                </a:lnTo>
                <a:lnTo>
                  <a:pt x="279" y="858"/>
                </a:lnTo>
                <a:lnTo>
                  <a:pt x="24" y="864"/>
                </a:lnTo>
                <a:lnTo>
                  <a:pt x="21" y="1020"/>
                </a:lnTo>
                <a:lnTo>
                  <a:pt x="3" y="1020"/>
                </a:lnTo>
                <a:lnTo>
                  <a:pt x="0" y="1422"/>
                </a:lnTo>
                <a:lnTo>
                  <a:pt x="318" y="1425"/>
                </a:lnTo>
                <a:lnTo>
                  <a:pt x="320" y="1019"/>
                </a:lnTo>
                <a:lnTo>
                  <a:pt x="996" y="1019"/>
                </a:lnTo>
                <a:lnTo>
                  <a:pt x="993" y="629"/>
                </a:lnTo>
                <a:lnTo>
                  <a:pt x="1028" y="629"/>
                </a:lnTo>
                <a:lnTo>
                  <a:pt x="1026" y="471"/>
                </a:lnTo>
                <a:lnTo>
                  <a:pt x="1155" y="468"/>
                </a:lnTo>
                <a:lnTo>
                  <a:pt x="1152" y="390"/>
                </a:lnTo>
                <a:lnTo>
                  <a:pt x="1023" y="390"/>
                </a:lnTo>
                <a:lnTo>
                  <a:pt x="1026" y="237"/>
                </a:lnTo>
                <a:lnTo>
                  <a:pt x="948" y="237"/>
                </a:lnTo>
                <a:lnTo>
                  <a:pt x="945" y="6"/>
                </a:lnTo>
                <a:lnTo>
                  <a:pt x="753" y="6"/>
                </a:lnTo>
                <a:lnTo>
                  <a:pt x="750" y="84"/>
                </a:lnTo>
                <a:lnTo>
                  <a:pt x="360" y="81"/>
                </a:lnTo>
                <a:lnTo>
                  <a:pt x="357" y="0"/>
                </a:lnTo>
                <a:lnTo>
                  <a:pt x="294" y="0"/>
                </a:lnTo>
                <a:close/>
              </a:path>
            </a:pathLst>
          </a:custGeom>
          <a:noFill/>
          <a:ln w="952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3" name="Freeform 1747">
            <a:extLst>
              <a:ext uri="{FF2B5EF4-FFF2-40B4-BE49-F238E27FC236}">
                <a16:creationId xmlns:a16="http://schemas.microsoft.com/office/drawing/2014/main" id="{00000000-0008-0000-0800-0000DB100300}"/>
              </a:ext>
            </a:extLst>
          </xdr:cNvPr>
          <xdr:cNvSpPr>
            <a:spLocks/>
          </xdr:cNvSpPr>
        </xdr:nvSpPr>
        <xdr:spPr bwMode="auto">
          <a:xfrm>
            <a:off x="3393" y="2814"/>
            <a:ext cx="564" cy="924"/>
          </a:xfrm>
          <a:custGeom>
            <a:avLst/>
            <a:gdLst>
              <a:gd name="T0" fmla="*/ 138 w 564"/>
              <a:gd name="T1" fmla="*/ 0 h 924"/>
              <a:gd name="T2" fmla="*/ 0 w 564"/>
              <a:gd name="T3" fmla="*/ 0 h 924"/>
              <a:gd name="T4" fmla="*/ 8 w 564"/>
              <a:gd name="T5" fmla="*/ 465 h 924"/>
              <a:gd name="T6" fmla="*/ 75 w 564"/>
              <a:gd name="T7" fmla="*/ 465 h 924"/>
              <a:gd name="T8" fmla="*/ 75 w 564"/>
              <a:gd name="T9" fmla="*/ 696 h 924"/>
              <a:gd name="T10" fmla="*/ 153 w 564"/>
              <a:gd name="T11" fmla="*/ 699 h 924"/>
              <a:gd name="T12" fmla="*/ 156 w 564"/>
              <a:gd name="T13" fmla="*/ 849 h 924"/>
              <a:gd name="T14" fmla="*/ 282 w 564"/>
              <a:gd name="T15" fmla="*/ 849 h 924"/>
              <a:gd name="T16" fmla="*/ 282 w 564"/>
              <a:gd name="T17" fmla="*/ 924 h 924"/>
              <a:gd name="T18" fmla="*/ 564 w 564"/>
              <a:gd name="T19" fmla="*/ 924 h 924"/>
              <a:gd name="T20" fmla="*/ 563 w 564"/>
              <a:gd name="T21" fmla="*/ 269 h 924"/>
              <a:gd name="T22" fmla="*/ 135 w 564"/>
              <a:gd name="T23" fmla="*/ 267 h 924"/>
              <a:gd name="T24" fmla="*/ 138 w 564"/>
              <a:gd name="T25" fmla="*/ 0 h 92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64"/>
              <a:gd name="T40" fmla="*/ 0 h 924"/>
              <a:gd name="T41" fmla="*/ 564 w 564"/>
              <a:gd name="T42" fmla="*/ 924 h 92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64" h="924">
                <a:moveTo>
                  <a:pt x="138" y="0"/>
                </a:moveTo>
                <a:lnTo>
                  <a:pt x="0" y="0"/>
                </a:lnTo>
                <a:lnTo>
                  <a:pt x="8" y="465"/>
                </a:lnTo>
                <a:lnTo>
                  <a:pt x="75" y="465"/>
                </a:lnTo>
                <a:lnTo>
                  <a:pt x="75" y="696"/>
                </a:lnTo>
                <a:lnTo>
                  <a:pt x="153" y="699"/>
                </a:lnTo>
                <a:lnTo>
                  <a:pt x="156" y="849"/>
                </a:lnTo>
                <a:lnTo>
                  <a:pt x="282" y="849"/>
                </a:lnTo>
                <a:lnTo>
                  <a:pt x="282" y="924"/>
                </a:lnTo>
                <a:lnTo>
                  <a:pt x="564" y="924"/>
                </a:lnTo>
                <a:lnTo>
                  <a:pt x="563" y="269"/>
                </a:lnTo>
                <a:lnTo>
                  <a:pt x="135" y="267"/>
                </a:lnTo>
                <a:lnTo>
                  <a:pt x="138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4" name="Freeform 1748">
            <a:extLst>
              <a:ext uri="{FF2B5EF4-FFF2-40B4-BE49-F238E27FC236}">
                <a16:creationId xmlns:a16="http://schemas.microsoft.com/office/drawing/2014/main" id="{00000000-0008-0000-0800-0000DC100300}"/>
              </a:ext>
            </a:extLst>
          </xdr:cNvPr>
          <xdr:cNvSpPr>
            <a:spLocks/>
          </xdr:cNvSpPr>
        </xdr:nvSpPr>
        <xdr:spPr bwMode="auto">
          <a:xfrm>
            <a:off x="3531" y="2493"/>
            <a:ext cx="425" cy="588"/>
          </a:xfrm>
          <a:custGeom>
            <a:avLst/>
            <a:gdLst>
              <a:gd name="T0" fmla="*/ 425 w 425"/>
              <a:gd name="T1" fmla="*/ 588 h 588"/>
              <a:gd name="T2" fmla="*/ 423 w 425"/>
              <a:gd name="T3" fmla="*/ 0 h 588"/>
              <a:gd name="T4" fmla="*/ 273 w 425"/>
              <a:gd name="T5" fmla="*/ 0 h 588"/>
              <a:gd name="T6" fmla="*/ 273 w 425"/>
              <a:gd name="T7" fmla="*/ 78 h 588"/>
              <a:gd name="T8" fmla="*/ 210 w 425"/>
              <a:gd name="T9" fmla="*/ 78 h 588"/>
              <a:gd name="T10" fmla="*/ 207 w 425"/>
              <a:gd name="T11" fmla="*/ 156 h 588"/>
              <a:gd name="T12" fmla="*/ 147 w 425"/>
              <a:gd name="T13" fmla="*/ 156 h 588"/>
              <a:gd name="T14" fmla="*/ 144 w 425"/>
              <a:gd name="T15" fmla="*/ 234 h 588"/>
              <a:gd name="T16" fmla="*/ 18 w 425"/>
              <a:gd name="T17" fmla="*/ 237 h 588"/>
              <a:gd name="T18" fmla="*/ 21 w 425"/>
              <a:gd name="T19" fmla="*/ 317 h 588"/>
              <a:gd name="T20" fmla="*/ 0 w 425"/>
              <a:gd name="T21" fmla="*/ 315 h 588"/>
              <a:gd name="T22" fmla="*/ 3 w 425"/>
              <a:gd name="T23" fmla="*/ 585 h 588"/>
              <a:gd name="T24" fmla="*/ 425 w 425"/>
              <a:gd name="T25" fmla="*/ 588 h 58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425"/>
              <a:gd name="T40" fmla="*/ 0 h 588"/>
              <a:gd name="T41" fmla="*/ 425 w 425"/>
              <a:gd name="T42" fmla="*/ 588 h 58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425" h="588">
                <a:moveTo>
                  <a:pt x="425" y="588"/>
                </a:moveTo>
                <a:lnTo>
                  <a:pt x="423" y="0"/>
                </a:lnTo>
                <a:lnTo>
                  <a:pt x="273" y="0"/>
                </a:lnTo>
                <a:lnTo>
                  <a:pt x="273" y="78"/>
                </a:lnTo>
                <a:lnTo>
                  <a:pt x="210" y="78"/>
                </a:lnTo>
                <a:lnTo>
                  <a:pt x="207" y="156"/>
                </a:lnTo>
                <a:lnTo>
                  <a:pt x="147" y="156"/>
                </a:lnTo>
                <a:lnTo>
                  <a:pt x="144" y="234"/>
                </a:lnTo>
                <a:lnTo>
                  <a:pt x="18" y="237"/>
                </a:lnTo>
                <a:lnTo>
                  <a:pt x="21" y="317"/>
                </a:lnTo>
                <a:lnTo>
                  <a:pt x="0" y="315"/>
                </a:lnTo>
                <a:lnTo>
                  <a:pt x="3" y="585"/>
                </a:lnTo>
                <a:lnTo>
                  <a:pt x="425" y="588"/>
                </a:lnTo>
                <a:close/>
              </a:path>
            </a:pathLst>
          </a:custGeom>
          <a:noFill/>
          <a:ln w="952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5" name="Freeform 1749">
            <a:extLst>
              <a:ext uri="{FF2B5EF4-FFF2-40B4-BE49-F238E27FC236}">
                <a16:creationId xmlns:a16="http://schemas.microsoft.com/office/drawing/2014/main" id="{00000000-0008-0000-0800-0000DD100300}"/>
              </a:ext>
            </a:extLst>
          </xdr:cNvPr>
          <xdr:cNvSpPr>
            <a:spLocks/>
          </xdr:cNvSpPr>
        </xdr:nvSpPr>
        <xdr:spPr bwMode="auto">
          <a:xfrm>
            <a:off x="1899" y="3041"/>
            <a:ext cx="915" cy="1093"/>
          </a:xfrm>
          <a:custGeom>
            <a:avLst/>
            <a:gdLst>
              <a:gd name="T0" fmla="*/ 284 w 915"/>
              <a:gd name="T1" fmla="*/ 66 h 1093"/>
              <a:gd name="T2" fmla="*/ 662 w 915"/>
              <a:gd name="T3" fmla="*/ 75 h 1093"/>
              <a:gd name="T4" fmla="*/ 660 w 915"/>
              <a:gd name="T5" fmla="*/ 0 h 1093"/>
              <a:gd name="T6" fmla="*/ 915 w 915"/>
              <a:gd name="T7" fmla="*/ 1 h 1093"/>
              <a:gd name="T8" fmla="*/ 912 w 915"/>
              <a:gd name="T9" fmla="*/ 940 h 1093"/>
              <a:gd name="T10" fmla="*/ 903 w 915"/>
              <a:gd name="T11" fmla="*/ 943 h 1093"/>
              <a:gd name="T12" fmla="*/ 906 w 915"/>
              <a:gd name="T13" fmla="*/ 1090 h 1093"/>
              <a:gd name="T14" fmla="*/ 650 w 915"/>
              <a:gd name="T15" fmla="*/ 1093 h 1093"/>
              <a:gd name="T16" fmla="*/ 654 w 915"/>
              <a:gd name="T17" fmla="*/ 937 h 1093"/>
              <a:gd name="T18" fmla="*/ 399 w 915"/>
              <a:gd name="T19" fmla="*/ 937 h 1093"/>
              <a:gd name="T20" fmla="*/ 396 w 915"/>
              <a:gd name="T21" fmla="*/ 856 h 1093"/>
              <a:gd name="T22" fmla="*/ 41 w 915"/>
              <a:gd name="T23" fmla="*/ 855 h 1093"/>
              <a:gd name="T24" fmla="*/ 0 w 915"/>
              <a:gd name="T25" fmla="*/ 855 h 1093"/>
              <a:gd name="T26" fmla="*/ 9 w 915"/>
              <a:gd name="T27" fmla="*/ 604 h 1093"/>
              <a:gd name="T28" fmla="*/ 206 w 915"/>
              <a:gd name="T29" fmla="*/ 607 h 1093"/>
              <a:gd name="T30" fmla="*/ 209 w 915"/>
              <a:gd name="T31" fmla="*/ 448 h 1093"/>
              <a:gd name="T32" fmla="*/ 281 w 915"/>
              <a:gd name="T33" fmla="*/ 450 h 1093"/>
              <a:gd name="T34" fmla="*/ 284 w 915"/>
              <a:gd name="T35" fmla="*/ 66 h 1093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915"/>
              <a:gd name="T55" fmla="*/ 0 h 1093"/>
              <a:gd name="T56" fmla="*/ 915 w 915"/>
              <a:gd name="T57" fmla="*/ 1093 h 1093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915" h="1093">
                <a:moveTo>
                  <a:pt x="284" y="66"/>
                </a:moveTo>
                <a:lnTo>
                  <a:pt x="662" y="75"/>
                </a:lnTo>
                <a:lnTo>
                  <a:pt x="660" y="0"/>
                </a:lnTo>
                <a:lnTo>
                  <a:pt x="915" y="1"/>
                </a:lnTo>
                <a:lnTo>
                  <a:pt x="912" y="940"/>
                </a:lnTo>
                <a:lnTo>
                  <a:pt x="903" y="943"/>
                </a:lnTo>
                <a:lnTo>
                  <a:pt x="906" y="1090"/>
                </a:lnTo>
                <a:lnTo>
                  <a:pt x="650" y="1093"/>
                </a:lnTo>
                <a:lnTo>
                  <a:pt x="654" y="937"/>
                </a:lnTo>
                <a:lnTo>
                  <a:pt x="399" y="937"/>
                </a:lnTo>
                <a:lnTo>
                  <a:pt x="396" y="856"/>
                </a:lnTo>
                <a:lnTo>
                  <a:pt x="41" y="855"/>
                </a:lnTo>
                <a:lnTo>
                  <a:pt x="0" y="855"/>
                </a:lnTo>
                <a:lnTo>
                  <a:pt x="9" y="604"/>
                </a:lnTo>
                <a:lnTo>
                  <a:pt x="206" y="607"/>
                </a:lnTo>
                <a:lnTo>
                  <a:pt x="209" y="448"/>
                </a:lnTo>
                <a:lnTo>
                  <a:pt x="281" y="450"/>
                </a:lnTo>
                <a:lnTo>
                  <a:pt x="284" y="66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6" name="Freeform 1750">
            <a:extLst>
              <a:ext uri="{FF2B5EF4-FFF2-40B4-BE49-F238E27FC236}">
                <a16:creationId xmlns:a16="http://schemas.microsoft.com/office/drawing/2014/main" id="{00000000-0008-0000-0800-0000DE100300}"/>
              </a:ext>
            </a:extLst>
          </xdr:cNvPr>
          <xdr:cNvSpPr>
            <a:spLocks/>
          </xdr:cNvSpPr>
        </xdr:nvSpPr>
        <xdr:spPr bwMode="auto">
          <a:xfrm>
            <a:off x="2562" y="2253"/>
            <a:ext cx="726" cy="786"/>
          </a:xfrm>
          <a:custGeom>
            <a:avLst/>
            <a:gdLst>
              <a:gd name="T0" fmla="*/ 15 w 726"/>
              <a:gd name="T1" fmla="*/ 2 h 786"/>
              <a:gd name="T2" fmla="*/ 726 w 726"/>
              <a:gd name="T3" fmla="*/ 0 h 786"/>
              <a:gd name="T4" fmla="*/ 720 w 726"/>
              <a:gd name="T5" fmla="*/ 396 h 786"/>
              <a:gd name="T6" fmla="*/ 600 w 726"/>
              <a:gd name="T7" fmla="*/ 396 h 786"/>
              <a:gd name="T8" fmla="*/ 603 w 726"/>
              <a:gd name="T9" fmla="*/ 471 h 786"/>
              <a:gd name="T10" fmla="*/ 579 w 726"/>
              <a:gd name="T11" fmla="*/ 477 h 786"/>
              <a:gd name="T12" fmla="*/ 537 w 726"/>
              <a:gd name="T13" fmla="*/ 477 h 786"/>
              <a:gd name="T14" fmla="*/ 528 w 726"/>
              <a:gd name="T15" fmla="*/ 555 h 786"/>
              <a:gd name="T16" fmla="*/ 261 w 726"/>
              <a:gd name="T17" fmla="*/ 555 h 786"/>
              <a:gd name="T18" fmla="*/ 252 w 726"/>
              <a:gd name="T19" fmla="*/ 783 h 786"/>
              <a:gd name="T20" fmla="*/ 0 w 726"/>
              <a:gd name="T21" fmla="*/ 786 h 786"/>
              <a:gd name="T22" fmla="*/ 0 w 726"/>
              <a:gd name="T23" fmla="*/ 555 h 786"/>
              <a:gd name="T24" fmla="*/ 18 w 726"/>
              <a:gd name="T25" fmla="*/ 557 h 786"/>
              <a:gd name="T26" fmla="*/ 15 w 726"/>
              <a:gd name="T27" fmla="*/ 5 h 78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726"/>
              <a:gd name="T43" fmla="*/ 0 h 786"/>
              <a:gd name="T44" fmla="*/ 726 w 726"/>
              <a:gd name="T45" fmla="*/ 786 h 78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726" h="786">
                <a:moveTo>
                  <a:pt x="15" y="2"/>
                </a:moveTo>
                <a:lnTo>
                  <a:pt x="726" y="0"/>
                </a:lnTo>
                <a:lnTo>
                  <a:pt x="720" y="396"/>
                </a:lnTo>
                <a:lnTo>
                  <a:pt x="600" y="396"/>
                </a:lnTo>
                <a:lnTo>
                  <a:pt x="603" y="471"/>
                </a:lnTo>
                <a:lnTo>
                  <a:pt x="579" y="477"/>
                </a:lnTo>
                <a:lnTo>
                  <a:pt x="537" y="477"/>
                </a:lnTo>
                <a:lnTo>
                  <a:pt x="528" y="555"/>
                </a:lnTo>
                <a:lnTo>
                  <a:pt x="261" y="555"/>
                </a:lnTo>
                <a:lnTo>
                  <a:pt x="252" y="783"/>
                </a:lnTo>
                <a:lnTo>
                  <a:pt x="0" y="786"/>
                </a:lnTo>
                <a:lnTo>
                  <a:pt x="0" y="555"/>
                </a:lnTo>
                <a:lnTo>
                  <a:pt x="18" y="557"/>
                </a:lnTo>
                <a:lnTo>
                  <a:pt x="15" y="5"/>
                </a:lnTo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7" name="Freeform 1751">
            <a:extLst>
              <a:ext uri="{FF2B5EF4-FFF2-40B4-BE49-F238E27FC236}">
                <a16:creationId xmlns:a16="http://schemas.microsoft.com/office/drawing/2014/main" id="{00000000-0008-0000-0800-0000DF100300}"/>
              </a:ext>
            </a:extLst>
          </xdr:cNvPr>
          <xdr:cNvSpPr>
            <a:spLocks/>
          </xdr:cNvSpPr>
        </xdr:nvSpPr>
        <xdr:spPr bwMode="auto">
          <a:xfrm>
            <a:off x="2814" y="2649"/>
            <a:ext cx="585" cy="705"/>
          </a:xfrm>
          <a:custGeom>
            <a:avLst/>
            <a:gdLst>
              <a:gd name="T0" fmla="*/ 468 w 585"/>
              <a:gd name="T1" fmla="*/ 2 h 705"/>
              <a:gd name="T2" fmla="*/ 474 w 585"/>
              <a:gd name="T3" fmla="*/ 162 h 705"/>
              <a:gd name="T4" fmla="*/ 582 w 585"/>
              <a:gd name="T5" fmla="*/ 162 h 705"/>
              <a:gd name="T6" fmla="*/ 585 w 585"/>
              <a:gd name="T7" fmla="*/ 630 h 705"/>
              <a:gd name="T8" fmla="*/ 459 w 585"/>
              <a:gd name="T9" fmla="*/ 630 h 705"/>
              <a:gd name="T10" fmla="*/ 456 w 585"/>
              <a:gd name="T11" fmla="*/ 705 h 705"/>
              <a:gd name="T12" fmla="*/ 69 w 585"/>
              <a:gd name="T13" fmla="*/ 705 h 705"/>
              <a:gd name="T14" fmla="*/ 69 w 585"/>
              <a:gd name="T15" fmla="*/ 624 h 705"/>
              <a:gd name="T16" fmla="*/ 0 w 585"/>
              <a:gd name="T17" fmla="*/ 624 h 705"/>
              <a:gd name="T18" fmla="*/ 6 w 585"/>
              <a:gd name="T19" fmla="*/ 159 h 705"/>
              <a:gd name="T20" fmla="*/ 279 w 585"/>
              <a:gd name="T21" fmla="*/ 162 h 705"/>
              <a:gd name="T22" fmla="*/ 282 w 585"/>
              <a:gd name="T23" fmla="*/ 78 h 705"/>
              <a:gd name="T24" fmla="*/ 348 w 585"/>
              <a:gd name="T25" fmla="*/ 78 h 705"/>
              <a:gd name="T26" fmla="*/ 351 w 585"/>
              <a:gd name="T27" fmla="*/ 0 h 705"/>
              <a:gd name="T28" fmla="*/ 470 w 585"/>
              <a:gd name="T29" fmla="*/ 0 h 705"/>
              <a:gd name="T30" fmla="*/ 468 w 585"/>
              <a:gd name="T31" fmla="*/ 2 h 705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585"/>
              <a:gd name="T49" fmla="*/ 0 h 705"/>
              <a:gd name="T50" fmla="*/ 585 w 585"/>
              <a:gd name="T51" fmla="*/ 705 h 705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585" h="705">
                <a:moveTo>
                  <a:pt x="468" y="2"/>
                </a:moveTo>
                <a:lnTo>
                  <a:pt x="474" y="162"/>
                </a:lnTo>
                <a:lnTo>
                  <a:pt x="582" y="162"/>
                </a:lnTo>
                <a:lnTo>
                  <a:pt x="585" y="630"/>
                </a:lnTo>
                <a:lnTo>
                  <a:pt x="459" y="630"/>
                </a:lnTo>
                <a:lnTo>
                  <a:pt x="456" y="705"/>
                </a:lnTo>
                <a:lnTo>
                  <a:pt x="69" y="705"/>
                </a:lnTo>
                <a:lnTo>
                  <a:pt x="69" y="624"/>
                </a:lnTo>
                <a:lnTo>
                  <a:pt x="0" y="624"/>
                </a:lnTo>
                <a:lnTo>
                  <a:pt x="6" y="159"/>
                </a:lnTo>
                <a:lnTo>
                  <a:pt x="279" y="162"/>
                </a:lnTo>
                <a:lnTo>
                  <a:pt x="282" y="78"/>
                </a:lnTo>
                <a:lnTo>
                  <a:pt x="348" y="78"/>
                </a:lnTo>
                <a:lnTo>
                  <a:pt x="351" y="0"/>
                </a:lnTo>
                <a:lnTo>
                  <a:pt x="470" y="0"/>
                </a:lnTo>
                <a:lnTo>
                  <a:pt x="468" y="2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8" name="Freeform 1752">
            <a:extLst>
              <a:ext uri="{FF2B5EF4-FFF2-40B4-BE49-F238E27FC236}">
                <a16:creationId xmlns:a16="http://schemas.microsoft.com/office/drawing/2014/main" id="{00000000-0008-0000-0800-0000E0100300}"/>
              </a:ext>
            </a:extLst>
          </xdr:cNvPr>
          <xdr:cNvSpPr>
            <a:spLocks/>
          </xdr:cNvSpPr>
        </xdr:nvSpPr>
        <xdr:spPr bwMode="auto">
          <a:xfrm>
            <a:off x="1068" y="2787"/>
            <a:ext cx="1116" cy="1017"/>
          </a:xfrm>
          <a:custGeom>
            <a:avLst/>
            <a:gdLst>
              <a:gd name="T0" fmla="*/ 1116 w 1116"/>
              <a:gd name="T1" fmla="*/ 321 h 1017"/>
              <a:gd name="T2" fmla="*/ 1113 w 1116"/>
              <a:gd name="T3" fmla="*/ 609 h 1017"/>
              <a:gd name="T4" fmla="*/ 1107 w 1116"/>
              <a:gd name="T5" fmla="*/ 705 h 1017"/>
              <a:gd name="T6" fmla="*/ 1035 w 1116"/>
              <a:gd name="T7" fmla="*/ 704 h 1017"/>
              <a:gd name="T8" fmla="*/ 1037 w 1116"/>
              <a:gd name="T9" fmla="*/ 707 h 1017"/>
              <a:gd name="T10" fmla="*/ 1037 w 1116"/>
              <a:gd name="T11" fmla="*/ 860 h 1017"/>
              <a:gd name="T12" fmla="*/ 840 w 1116"/>
              <a:gd name="T13" fmla="*/ 858 h 1017"/>
              <a:gd name="T14" fmla="*/ 831 w 1116"/>
              <a:gd name="T15" fmla="*/ 1017 h 1017"/>
              <a:gd name="T16" fmla="*/ 0 w 1116"/>
              <a:gd name="T17" fmla="*/ 993 h 1017"/>
              <a:gd name="T18" fmla="*/ 21 w 1116"/>
              <a:gd name="T19" fmla="*/ 0 h 1017"/>
              <a:gd name="T20" fmla="*/ 527 w 1116"/>
              <a:gd name="T21" fmla="*/ 14 h 1017"/>
              <a:gd name="T22" fmla="*/ 782 w 1116"/>
              <a:gd name="T23" fmla="*/ 144 h 1017"/>
              <a:gd name="T24" fmla="*/ 822 w 1116"/>
              <a:gd name="T25" fmla="*/ 159 h 1017"/>
              <a:gd name="T26" fmla="*/ 822 w 1116"/>
              <a:gd name="T27" fmla="*/ 312 h 1017"/>
              <a:gd name="T28" fmla="*/ 1116 w 1116"/>
              <a:gd name="T29" fmla="*/ 321 h 1017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1116"/>
              <a:gd name="T46" fmla="*/ 0 h 1017"/>
              <a:gd name="T47" fmla="*/ 1116 w 1116"/>
              <a:gd name="T48" fmla="*/ 1017 h 1017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1116" h="1017">
                <a:moveTo>
                  <a:pt x="1116" y="321"/>
                </a:moveTo>
                <a:lnTo>
                  <a:pt x="1113" y="609"/>
                </a:lnTo>
                <a:lnTo>
                  <a:pt x="1107" y="705"/>
                </a:lnTo>
                <a:lnTo>
                  <a:pt x="1035" y="704"/>
                </a:lnTo>
                <a:lnTo>
                  <a:pt x="1037" y="707"/>
                </a:lnTo>
                <a:lnTo>
                  <a:pt x="1037" y="860"/>
                </a:lnTo>
                <a:lnTo>
                  <a:pt x="840" y="858"/>
                </a:lnTo>
                <a:lnTo>
                  <a:pt x="831" y="1017"/>
                </a:lnTo>
                <a:lnTo>
                  <a:pt x="0" y="993"/>
                </a:lnTo>
                <a:lnTo>
                  <a:pt x="21" y="0"/>
                </a:lnTo>
                <a:lnTo>
                  <a:pt x="527" y="14"/>
                </a:lnTo>
                <a:lnTo>
                  <a:pt x="782" y="144"/>
                </a:lnTo>
                <a:lnTo>
                  <a:pt x="822" y="159"/>
                </a:lnTo>
                <a:lnTo>
                  <a:pt x="822" y="312"/>
                </a:lnTo>
                <a:lnTo>
                  <a:pt x="1116" y="321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29" name="Freeform 1753">
            <a:extLst>
              <a:ext uri="{FF2B5EF4-FFF2-40B4-BE49-F238E27FC236}">
                <a16:creationId xmlns:a16="http://schemas.microsoft.com/office/drawing/2014/main" id="{00000000-0008-0000-0800-0000E1100300}"/>
              </a:ext>
            </a:extLst>
          </xdr:cNvPr>
          <xdr:cNvSpPr>
            <a:spLocks/>
          </xdr:cNvSpPr>
        </xdr:nvSpPr>
        <xdr:spPr bwMode="auto">
          <a:xfrm>
            <a:off x="1866" y="2399"/>
            <a:ext cx="711" cy="712"/>
          </a:xfrm>
          <a:custGeom>
            <a:avLst/>
            <a:gdLst>
              <a:gd name="T0" fmla="*/ 141 w 711"/>
              <a:gd name="T1" fmla="*/ 0 h 712"/>
              <a:gd name="T2" fmla="*/ 710 w 711"/>
              <a:gd name="T3" fmla="*/ 4 h 712"/>
              <a:gd name="T4" fmla="*/ 711 w 711"/>
              <a:gd name="T5" fmla="*/ 411 h 712"/>
              <a:gd name="T6" fmla="*/ 698 w 711"/>
              <a:gd name="T7" fmla="*/ 409 h 712"/>
              <a:gd name="T8" fmla="*/ 690 w 711"/>
              <a:gd name="T9" fmla="*/ 712 h 712"/>
              <a:gd name="T10" fmla="*/ 24 w 711"/>
              <a:gd name="T11" fmla="*/ 703 h 712"/>
              <a:gd name="T12" fmla="*/ 27 w 711"/>
              <a:gd name="T13" fmla="*/ 472 h 712"/>
              <a:gd name="T14" fmla="*/ 2 w 711"/>
              <a:gd name="T15" fmla="*/ 471 h 712"/>
              <a:gd name="T16" fmla="*/ 0 w 711"/>
              <a:gd name="T17" fmla="*/ 391 h 712"/>
              <a:gd name="T18" fmla="*/ 3 w 711"/>
              <a:gd name="T19" fmla="*/ 162 h 712"/>
              <a:gd name="T20" fmla="*/ 191 w 711"/>
              <a:gd name="T21" fmla="*/ 162 h 712"/>
              <a:gd name="T22" fmla="*/ 191 w 711"/>
              <a:gd name="T23" fmla="*/ 79 h 712"/>
              <a:gd name="T24" fmla="*/ 141 w 711"/>
              <a:gd name="T25" fmla="*/ 79 h 712"/>
              <a:gd name="T26" fmla="*/ 141 w 711"/>
              <a:gd name="T27" fmla="*/ 0 h 71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711"/>
              <a:gd name="T43" fmla="*/ 0 h 712"/>
              <a:gd name="T44" fmla="*/ 711 w 711"/>
              <a:gd name="T45" fmla="*/ 712 h 71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711" h="712">
                <a:moveTo>
                  <a:pt x="141" y="0"/>
                </a:moveTo>
                <a:lnTo>
                  <a:pt x="710" y="4"/>
                </a:lnTo>
                <a:lnTo>
                  <a:pt x="711" y="411"/>
                </a:lnTo>
                <a:lnTo>
                  <a:pt x="698" y="409"/>
                </a:lnTo>
                <a:lnTo>
                  <a:pt x="690" y="712"/>
                </a:lnTo>
                <a:lnTo>
                  <a:pt x="24" y="703"/>
                </a:lnTo>
                <a:lnTo>
                  <a:pt x="27" y="472"/>
                </a:lnTo>
                <a:lnTo>
                  <a:pt x="2" y="471"/>
                </a:lnTo>
                <a:lnTo>
                  <a:pt x="0" y="391"/>
                </a:lnTo>
                <a:lnTo>
                  <a:pt x="3" y="162"/>
                </a:lnTo>
                <a:lnTo>
                  <a:pt x="191" y="162"/>
                </a:lnTo>
                <a:lnTo>
                  <a:pt x="191" y="79"/>
                </a:lnTo>
                <a:lnTo>
                  <a:pt x="141" y="79"/>
                </a:lnTo>
                <a:lnTo>
                  <a:pt x="141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30" name="Freeform 1754">
            <a:extLst>
              <a:ext uri="{FF2B5EF4-FFF2-40B4-BE49-F238E27FC236}">
                <a16:creationId xmlns:a16="http://schemas.microsoft.com/office/drawing/2014/main" id="{00000000-0008-0000-0800-0000E2100300}"/>
              </a:ext>
            </a:extLst>
          </xdr:cNvPr>
          <xdr:cNvSpPr>
            <a:spLocks/>
          </xdr:cNvSpPr>
        </xdr:nvSpPr>
        <xdr:spPr bwMode="auto">
          <a:xfrm>
            <a:off x="2010" y="1539"/>
            <a:ext cx="318" cy="864"/>
          </a:xfrm>
          <a:custGeom>
            <a:avLst/>
            <a:gdLst>
              <a:gd name="T0" fmla="*/ 6 w 318"/>
              <a:gd name="T1" fmla="*/ 45 h 864"/>
              <a:gd name="T2" fmla="*/ 3 w 318"/>
              <a:gd name="T3" fmla="*/ 120 h 864"/>
              <a:gd name="T4" fmla="*/ 3 w 318"/>
              <a:gd name="T5" fmla="*/ 141 h 864"/>
              <a:gd name="T6" fmla="*/ 18 w 318"/>
              <a:gd name="T7" fmla="*/ 153 h 864"/>
              <a:gd name="T8" fmla="*/ 45 w 318"/>
              <a:gd name="T9" fmla="*/ 153 h 864"/>
              <a:gd name="T10" fmla="*/ 33 w 318"/>
              <a:gd name="T11" fmla="*/ 186 h 864"/>
              <a:gd name="T12" fmla="*/ 0 w 318"/>
              <a:gd name="T13" fmla="*/ 216 h 864"/>
              <a:gd name="T14" fmla="*/ 0 w 318"/>
              <a:gd name="T15" fmla="*/ 861 h 864"/>
              <a:gd name="T16" fmla="*/ 318 w 318"/>
              <a:gd name="T17" fmla="*/ 864 h 864"/>
              <a:gd name="T18" fmla="*/ 312 w 318"/>
              <a:gd name="T19" fmla="*/ 0 h 864"/>
              <a:gd name="T20" fmla="*/ 117 w 318"/>
              <a:gd name="T21" fmla="*/ 0 h 864"/>
              <a:gd name="T22" fmla="*/ 117 w 318"/>
              <a:gd name="T23" fmla="*/ 60 h 864"/>
              <a:gd name="T24" fmla="*/ 21 w 318"/>
              <a:gd name="T25" fmla="*/ 60 h 86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18"/>
              <a:gd name="T40" fmla="*/ 0 h 864"/>
              <a:gd name="T41" fmla="*/ 318 w 318"/>
              <a:gd name="T42" fmla="*/ 864 h 864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18" h="864">
                <a:moveTo>
                  <a:pt x="6" y="45"/>
                </a:moveTo>
                <a:lnTo>
                  <a:pt x="3" y="120"/>
                </a:lnTo>
                <a:lnTo>
                  <a:pt x="3" y="141"/>
                </a:lnTo>
                <a:lnTo>
                  <a:pt x="18" y="153"/>
                </a:lnTo>
                <a:lnTo>
                  <a:pt x="45" y="153"/>
                </a:lnTo>
                <a:lnTo>
                  <a:pt x="33" y="186"/>
                </a:lnTo>
                <a:lnTo>
                  <a:pt x="0" y="216"/>
                </a:lnTo>
                <a:lnTo>
                  <a:pt x="0" y="861"/>
                </a:lnTo>
                <a:lnTo>
                  <a:pt x="318" y="864"/>
                </a:lnTo>
                <a:lnTo>
                  <a:pt x="312" y="0"/>
                </a:lnTo>
                <a:lnTo>
                  <a:pt x="117" y="0"/>
                </a:lnTo>
                <a:lnTo>
                  <a:pt x="117" y="60"/>
                </a:lnTo>
                <a:lnTo>
                  <a:pt x="21" y="60"/>
                </a:lnTo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79" name="Text Box 1755">
            <a:extLst>
              <a:ext uri="{FF2B5EF4-FFF2-40B4-BE49-F238E27FC236}">
                <a16:creationId xmlns:a16="http://schemas.microsoft.com/office/drawing/2014/main" id="{00000000-0008-0000-0800-0000DB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0" y="2320"/>
            <a:ext cx="571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Quay 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80" name="Text Box 1756">
            <a:extLst>
              <a:ext uri="{FF2B5EF4-FFF2-40B4-BE49-F238E27FC236}">
                <a16:creationId xmlns:a16="http://schemas.microsoft.com/office/drawing/2014/main" id="{00000000-0008-0000-0800-0000DC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2" y="5565"/>
            <a:ext cx="112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0933" name="Freeform 1757">
            <a:extLst>
              <a:ext uri="{FF2B5EF4-FFF2-40B4-BE49-F238E27FC236}">
                <a16:creationId xmlns:a16="http://schemas.microsoft.com/office/drawing/2014/main" id="{00000000-0008-0000-0800-0000E5100300}"/>
              </a:ext>
            </a:extLst>
          </xdr:cNvPr>
          <xdr:cNvSpPr>
            <a:spLocks/>
          </xdr:cNvSpPr>
        </xdr:nvSpPr>
        <xdr:spPr bwMode="auto">
          <a:xfrm>
            <a:off x="885" y="3776"/>
            <a:ext cx="1029" cy="796"/>
          </a:xfrm>
          <a:custGeom>
            <a:avLst/>
            <a:gdLst>
              <a:gd name="T0" fmla="*/ 0 w 1029"/>
              <a:gd name="T1" fmla="*/ 0 h 796"/>
              <a:gd name="T2" fmla="*/ 1019 w 1029"/>
              <a:gd name="T3" fmla="*/ 24 h 796"/>
              <a:gd name="T4" fmla="*/ 1017 w 1029"/>
              <a:gd name="T5" fmla="*/ 118 h 796"/>
              <a:gd name="T6" fmla="*/ 1029 w 1029"/>
              <a:gd name="T7" fmla="*/ 120 h 796"/>
              <a:gd name="T8" fmla="*/ 1028 w 1029"/>
              <a:gd name="T9" fmla="*/ 419 h 796"/>
              <a:gd name="T10" fmla="*/ 680 w 1029"/>
              <a:gd name="T11" fmla="*/ 618 h 796"/>
              <a:gd name="T12" fmla="*/ 678 w 1029"/>
              <a:gd name="T13" fmla="*/ 656 h 796"/>
              <a:gd name="T14" fmla="*/ 426 w 1029"/>
              <a:gd name="T15" fmla="*/ 648 h 796"/>
              <a:gd name="T16" fmla="*/ 420 w 1029"/>
              <a:gd name="T17" fmla="*/ 796 h 796"/>
              <a:gd name="T18" fmla="*/ 152 w 1029"/>
              <a:gd name="T19" fmla="*/ 789 h 796"/>
              <a:gd name="T20" fmla="*/ 159 w 1029"/>
              <a:gd name="T21" fmla="*/ 723 h 796"/>
              <a:gd name="T22" fmla="*/ 159 w 1029"/>
              <a:gd name="T23" fmla="*/ 691 h 796"/>
              <a:gd name="T24" fmla="*/ 154 w 1029"/>
              <a:gd name="T25" fmla="*/ 648 h 796"/>
              <a:gd name="T26" fmla="*/ 146 w 1029"/>
              <a:gd name="T27" fmla="*/ 633 h 796"/>
              <a:gd name="T28" fmla="*/ 141 w 1029"/>
              <a:gd name="T29" fmla="*/ 616 h 796"/>
              <a:gd name="T30" fmla="*/ 138 w 1029"/>
              <a:gd name="T31" fmla="*/ 585 h 796"/>
              <a:gd name="T32" fmla="*/ 123 w 1029"/>
              <a:gd name="T33" fmla="*/ 575 h 796"/>
              <a:gd name="T34" fmla="*/ 126 w 1029"/>
              <a:gd name="T35" fmla="*/ 537 h 796"/>
              <a:gd name="T36" fmla="*/ 133 w 1029"/>
              <a:gd name="T37" fmla="*/ 515 h 796"/>
              <a:gd name="T38" fmla="*/ 123 w 1029"/>
              <a:gd name="T39" fmla="*/ 495 h 796"/>
              <a:gd name="T40" fmla="*/ 96 w 1029"/>
              <a:gd name="T41" fmla="*/ 489 h 796"/>
              <a:gd name="T42" fmla="*/ 78 w 1029"/>
              <a:gd name="T43" fmla="*/ 469 h 796"/>
              <a:gd name="T44" fmla="*/ 91 w 1029"/>
              <a:gd name="T45" fmla="*/ 452 h 796"/>
              <a:gd name="T46" fmla="*/ 88 w 1029"/>
              <a:gd name="T47" fmla="*/ 409 h 796"/>
              <a:gd name="T48" fmla="*/ 78 w 1029"/>
              <a:gd name="T49" fmla="*/ 389 h 796"/>
              <a:gd name="T50" fmla="*/ 98 w 1029"/>
              <a:gd name="T51" fmla="*/ 368 h 796"/>
              <a:gd name="T52" fmla="*/ 98 w 1029"/>
              <a:gd name="T53" fmla="*/ 356 h 796"/>
              <a:gd name="T54" fmla="*/ 93 w 1029"/>
              <a:gd name="T55" fmla="*/ 338 h 796"/>
              <a:gd name="T56" fmla="*/ 83 w 1029"/>
              <a:gd name="T57" fmla="*/ 326 h 796"/>
              <a:gd name="T58" fmla="*/ 83 w 1029"/>
              <a:gd name="T59" fmla="*/ 308 h 796"/>
              <a:gd name="T60" fmla="*/ 86 w 1029"/>
              <a:gd name="T61" fmla="*/ 288 h 796"/>
              <a:gd name="T62" fmla="*/ 91 w 1029"/>
              <a:gd name="T63" fmla="*/ 270 h 796"/>
              <a:gd name="T64" fmla="*/ 78 w 1029"/>
              <a:gd name="T65" fmla="*/ 260 h 796"/>
              <a:gd name="T66" fmla="*/ 63 w 1029"/>
              <a:gd name="T67" fmla="*/ 245 h 796"/>
              <a:gd name="T68" fmla="*/ 17 w 1029"/>
              <a:gd name="T69" fmla="*/ 245 h 796"/>
              <a:gd name="T70" fmla="*/ 2 w 1029"/>
              <a:gd name="T71" fmla="*/ 240 h 796"/>
              <a:gd name="T72" fmla="*/ 5 w 1029"/>
              <a:gd name="T73" fmla="*/ 96 h 796"/>
              <a:gd name="T74" fmla="*/ 0 w 1029"/>
              <a:gd name="T75" fmla="*/ 0 h 79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1029"/>
              <a:gd name="T115" fmla="*/ 0 h 796"/>
              <a:gd name="T116" fmla="*/ 1029 w 1029"/>
              <a:gd name="T117" fmla="*/ 796 h 79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1029" h="796">
                <a:moveTo>
                  <a:pt x="0" y="0"/>
                </a:moveTo>
                <a:lnTo>
                  <a:pt x="1019" y="24"/>
                </a:lnTo>
                <a:lnTo>
                  <a:pt x="1017" y="118"/>
                </a:lnTo>
                <a:lnTo>
                  <a:pt x="1029" y="120"/>
                </a:lnTo>
                <a:cubicBezTo>
                  <a:pt x="1027" y="270"/>
                  <a:pt x="1028" y="419"/>
                  <a:pt x="1028" y="419"/>
                </a:cubicBezTo>
                <a:lnTo>
                  <a:pt x="680" y="618"/>
                </a:lnTo>
                <a:lnTo>
                  <a:pt x="678" y="656"/>
                </a:lnTo>
                <a:lnTo>
                  <a:pt x="426" y="648"/>
                </a:lnTo>
                <a:lnTo>
                  <a:pt x="420" y="796"/>
                </a:lnTo>
                <a:lnTo>
                  <a:pt x="152" y="789"/>
                </a:lnTo>
                <a:lnTo>
                  <a:pt x="159" y="723"/>
                </a:lnTo>
                <a:lnTo>
                  <a:pt x="159" y="691"/>
                </a:lnTo>
                <a:lnTo>
                  <a:pt x="154" y="648"/>
                </a:lnTo>
                <a:lnTo>
                  <a:pt x="146" y="633"/>
                </a:lnTo>
                <a:lnTo>
                  <a:pt x="141" y="616"/>
                </a:lnTo>
                <a:lnTo>
                  <a:pt x="138" y="585"/>
                </a:lnTo>
                <a:lnTo>
                  <a:pt x="123" y="575"/>
                </a:lnTo>
                <a:lnTo>
                  <a:pt x="126" y="537"/>
                </a:lnTo>
                <a:lnTo>
                  <a:pt x="133" y="515"/>
                </a:lnTo>
                <a:lnTo>
                  <a:pt x="123" y="495"/>
                </a:lnTo>
                <a:lnTo>
                  <a:pt x="96" y="489"/>
                </a:lnTo>
                <a:lnTo>
                  <a:pt x="78" y="469"/>
                </a:lnTo>
                <a:lnTo>
                  <a:pt x="91" y="452"/>
                </a:lnTo>
                <a:lnTo>
                  <a:pt x="88" y="409"/>
                </a:lnTo>
                <a:lnTo>
                  <a:pt x="78" y="389"/>
                </a:lnTo>
                <a:lnTo>
                  <a:pt x="98" y="368"/>
                </a:lnTo>
                <a:cubicBezTo>
                  <a:pt x="98" y="364"/>
                  <a:pt x="98" y="360"/>
                  <a:pt x="98" y="356"/>
                </a:cubicBezTo>
                <a:lnTo>
                  <a:pt x="93" y="338"/>
                </a:lnTo>
                <a:lnTo>
                  <a:pt x="83" y="326"/>
                </a:lnTo>
                <a:lnTo>
                  <a:pt x="83" y="308"/>
                </a:lnTo>
                <a:lnTo>
                  <a:pt x="86" y="288"/>
                </a:lnTo>
                <a:lnTo>
                  <a:pt x="91" y="270"/>
                </a:lnTo>
                <a:lnTo>
                  <a:pt x="78" y="260"/>
                </a:lnTo>
                <a:lnTo>
                  <a:pt x="63" y="245"/>
                </a:lnTo>
                <a:lnTo>
                  <a:pt x="17" y="245"/>
                </a:lnTo>
                <a:cubicBezTo>
                  <a:pt x="12" y="243"/>
                  <a:pt x="2" y="240"/>
                  <a:pt x="2" y="240"/>
                </a:cubicBezTo>
                <a:lnTo>
                  <a:pt x="5" y="96"/>
                </a:lnTo>
                <a:lnTo>
                  <a:pt x="0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34" name="Freeform 1758">
            <a:extLst>
              <a:ext uri="{FF2B5EF4-FFF2-40B4-BE49-F238E27FC236}">
                <a16:creationId xmlns:a16="http://schemas.microsoft.com/office/drawing/2014/main" id="{00000000-0008-0000-0800-0000E6100300}"/>
              </a:ext>
            </a:extLst>
          </xdr:cNvPr>
          <xdr:cNvSpPr>
            <a:spLocks/>
          </xdr:cNvSpPr>
        </xdr:nvSpPr>
        <xdr:spPr bwMode="auto">
          <a:xfrm>
            <a:off x="720" y="4560"/>
            <a:ext cx="583" cy="774"/>
          </a:xfrm>
          <a:custGeom>
            <a:avLst/>
            <a:gdLst>
              <a:gd name="T0" fmla="*/ 583 w 583"/>
              <a:gd name="T1" fmla="*/ 9 h 774"/>
              <a:gd name="T2" fmla="*/ 575 w 583"/>
              <a:gd name="T3" fmla="*/ 414 h 774"/>
              <a:gd name="T4" fmla="*/ 567 w 583"/>
              <a:gd name="T5" fmla="*/ 774 h 774"/>
              <a:gd name="T6" fmla="*/ 3 w 583"/>
              <a:gd name="T7" fmla="*/ 768 h 774"/>
              <a:gd name="T8" fmla="*/ 0 w 583"/>
              <a:gd name="T9" fmla="*/ 76 h 774"/>
              <a:gd name="T10" fmla="*/ 196 w 583"/>
              <a:gd name="T11" fmla="*/ 79 h 774"/>
              <a:gd name="T12" fmla="*/ 194 w 583"/>
              <a:gd name="T13" fmla="*/ 0 h 774"/>
              <a:gd name="T14" fmla="*/ 583 w 583"/>
              <a:gd name="T15" fmla="*/ 9 h 774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583"/>
              <a:gd name="T25" fmla="*/ 0 h 774"/>
              <a:gd name="T26" fmla="*/ 583 w 583"/>
              <a:gd name="T27" fmla="*/ 774 h 774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583" h="774">
                <a:moveTo>
                  <a:pt x="583" y="9"/>
                </a:moveTo>
                <a:lnTo>
                  <a:pt x="575" y="414"/>
                </a:lnTo>
                <a:lnTo>
                  <a:pt x="567" y="774"/>
                </a:lnTo>
                <a:lnTo>
                  <a:pt x="3" y="768"/>
                </a:lnTo>
                <a:lnTo>
                  <a:pt x="0" y="76"/>
                </a:lnTo>
                <a:lnTo>
                  <a:pt x="196" y="79"/>
                </a:lnTo>
                <a:lnTo>
                  <a:pt x="194" y="0"/>
                </a:lnTo>
                <a:lnTo>
                  <a:pt x="583" y="9"/>
                </a:lnTo>
                <a:close/>
              </a:path>
            </a:pathLst>
          </a:custGeom>
          <a:noFill/>
          <a:ln w="952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35" name="Line 1759">
            <a:extLst>
              <a:ext uri="{FF2B5EF4-FFF2-40B4-BE49-F238E27FC236}">
                <a16:creationId xmlns:a16="http://schemas.microsoft.com/office/drawing/2014/main" id="{00000000-0008-0000-0800-0000E7100300}"/>
              </a:ext>
            </a:extLst>
          </xdr:cNvPr>
          <xdr:cNvSpPr>
            <a:spLocks noChangeShapeType="1"/>
          </xdr:cNvSpPr>
        </xdr:nvSpPr>
        <xdr:spPr bwMode="auto">
          <a:xfrm>
            <a:off x="1920" y="4224"/>
            <a:ext cx="1" cy="48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0936" name="Freeform 1760">
            <a:extLst>
              <a:ext uri="{FF2B5EF4-FFF2-40B4-BE49-F238E27FC236}">
                <a16:creationId xmlns:a16="http://schemas.microsoft.com/office/drawing/2014/main" id="{00000000-0008-0000-0800-0000E8100300}"/>
              </a:ext>
            </a:extLst>
          </xdr:cNvPr>
          <xdr:cNvSpPr>
            <a:spLocks/>
          </xdr:cNvSpPr>
        </xdr:nvSpPr>
        <xdr:spPr bwMode="auto">
          <a:xfrm>
            <a:off x="1289" y="4202"/>
            <a:ext cx="619" cy="1142"/>
          </a:xfrm>
          <a:custGeom>
            <a:avLst/>
            <a:gdLst>
              <a:gd name="T0" fmla="*/ 619 w 619"/>
              <a:gd name="T1" fmla="*/ 0 h 1142"/>
              <a:gd name="T2" fmla="*/ 619 w 619"/>
              <a:gd name="T3" fmla="*/ 76 h 1142"/>
              <a:gd name="T4" fmla="*/ 604 w 619"/>
              <a:gd name="T5" fmla="*/ 79 h 1142"/>
              <a:gd name="T6" fmla="*/ 598 w 619"/>
              <a:gd name="T7" fmla="*/ 276 h 1142"/>
              <a:gd name="T8" fmla="*/ 592 w 619"/>
              <a:gd name="T9" fmla="*/ 658 h 1142"/>
              <a:gd name="T10" fmla="*/ 587 w 619"/>
              <a:gd name="T11" fmla="*/ 951 h 1142"/>
              <a:gd name="T12" fmla="*/ 516 w 619"/>
              <a:gd name="T13" fmla="*/ 946 h 1142"/>
              <a:gd name="T14" fmla="*/ 491 w 619"/>
              <a:gd name="T15" fmla="*/ 951 h 1142"/>
              <a:gd name="T16" fmla="*/ 453 w 619"/>
              <a:gd name="T17" fmla="*/ 954 h 1142"/>
              <a:gd name="T18" fmla="*/ 425 w 619"/>
              <a:gd name="T19" fmla="*/ 969 h 1142"/>
              <a:gd name="T20" fmla="*/ 438 w 619"/>
              <a:gd name="T21" fmla="*/ 991 h 1142"/>
              <a:gd name="T22" fmla="*/ 433 w 619"/>
              <a:gd name="T23" fmla="*/ 1009 h 1142"/>
              <a:gd name="T24" fmla="*/ 418 w 619"/>
              <a:gd name="T25" fmla="*/ 1041 h 1142"/>
              <a:gd name="T26" fmla="*/ 428 w 619"/>
              <a:gd name="T27" fmla="*/ 1074 h 1142"/>
              <a:gd name="T28" fmla="*/ 445 w 619"/>
              <a:gd name="T29" fmla="*/ 1097 h 1142"/>
              <a:gd name="T30" fmla="*/ 468 w 619"/>
              <a:gd name="T31" fmla="*/ 1120 h 1142"/>
              <a:gd name="T32" fmla="*/ 483 w 619"/>
              <a:gd name="T33" fmla="*/ 1142 h 1142"/>
              <a:gd name="T34" fmla="*/ 0 w 619"/>
              <a:gd name="T35" fmla="*/ 1135 h 1142"/>
              <a:gd name="T36" fmla="*/ 18 w 619"/>
              <a:gd name="T37" fmla="*/ 376 h 1142"/>
              <a:gd name="T38" fmla="*/ 24 w 619"/>
              <a:gd name="T39" fmla="*/ 225 h 1142"/>
              <a:gd name="T40" fmla="*/ 279 w 619"/>
              <a:gd name="T41" fmla="*/ 230 h 1142"/>
              <a:gd name="T42" fmla="*/ 279 w 619"/>
              <a:gd name="T43" fmla="*/ 188 h 1142"/>
              <a:gd name="T44" fmla="*/ 619 w 619"/>
              <a:gd name="T45" fmla="*/ 0 h 1142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619"/>
              <a:gd name="T70" fmla="*/ 0 h 1142"/>
              <a:gd name="T71" fmla="*/ 619 w 619"/>
              <a:gd name="T72" fmla="*/ 1142 h 1142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619" h="1142">
                <a:moveTo>
                  <a:pt x="619" y="0"/>
                </a:moveTo>
                <a:lnTo>
                  <a:pt x="619" y="76"/>
                </a:lnTo>
                <a:lnTo>
                  <a:pt x="604" y="79"/>
                </a:lnTo>
                <a:lnTo>
                  <a:pt x="598" y="276"/>
                </a:lnTo>
                <a:lnTo>
                  <a:pt x="592" y="658"/>
                </a:lnTo>
                <a:cubicBezTo>
                  <a:pt x="589" y="756"/>
                  <a:pt x="587" y="951"/>
                  <a:pt x="587" y="951"/>
                </a:cubicBezTo>
                <a:lnTo>
                  <a:pt x="516" y="946"/>
                </a:lnTo>
                <a:lnTo>
                  <a:pt x="491" y="951"/>
                </a:lnTo>
                <a:lnTo>
                  <a:pt x="453" y="954"/>
                </a:lnTo>
                <a:lnTo>
                  <a:pt x="425" y="969"/>
                </a:lnTo>
                <a:lnTo>
                  <a:pt x="438" y="991"/>
                </a:lnTo>
                <a:lnTo>
                  <a:pt x="433" y="1009"/>
                </a:lnTo>
                <a:lnTo>
                  <a:pt x="418" y="1041"/>
                </a:lnTo>
                <a:lnTo>
                  <a:pt x="428" y="1074"/>
                </a:lnTo>
                <a:lnTo>
                  <a:pt x="445" y="1097"/>
                </a:lnTo>
                <a:lnTo>
                  <a:pt x="468" y="1120"/>
                </a:lnTo>
                <a:lnTo>
                  <a:pt x="483" y="1142"/>
                </a:lnTo>
                <a:lnTo>
                  <a:pt x="0" y="1135"/>
                </a:lnTo>
                <a:cubicBezTo>
                  <a:pt x="13" y="388"/>
                  <a:pt x="14" y="526"/>
                  <a:pt x="18" y="376"/>
                </a:cubicBezTo>
                <a:lnTo>
                  <a:pt x="24" y="225"/>
                </a:lnTo>
                <a:lnTo>
                  <a:pt x="279" y="230"/>
                </a:lnTo>
                <a:lnTo>
                  <a:pt x="279" y="188"/>
                </a:lnTo>
                <a:lnTo>
                  <a:pt x="619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37" name="Line 1761">
            <a:extLst>
              <a:ext uri="{FF2B5EF4-FFF2-40B4-BE49-F238E27FC236}">
                <a16:creationId xmlns:a16="http://schemas.microsoft.com/office/drawing/2014/main" id="{00000000-0008-0000-0800-0000E9100300}"/>
              </a:ext>
            </a:extLst>
          </xdr:cNvPr>
          <xdr:cNvSpPr>
            <a:spLocks noChangeShapeType="1"/>
          </xdr:cNvSpPr>
        </xdr:nvSpPr>
        <xdr:spPr bwMode="auto">
          <a:xfrm>
            <a:off x="237" y="3988"/>
            <a:ext cx="0" cy="0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0938" name="Freeform 1762">
            <a:extLst>
              <a:ext uri="{FF2B5EF4-FFF2-40B4-BE49-F238E27FC236}">
                <a16:creationId xmlns:a16="http://schemas.microsoft.com/office/drawing/2014/main" id="{00000000-0008-0000-0800-0000EA100300}"/>
              </a:ext>
            </a:extLst>
          </xdr:cNvPr>
          <xdr:cNvSpPr>
            <a:spLocks/>
          </xdr:cNvSpPr>
        </xdr:nvSpPr>
        <xdr:spPr bwMode="auto">
          <a:xfrm>
            <a:off x="219" y="3999"/>
            <a:ext cx="825" cy="1230"/>
          </a:xfrm>
          <a:custGeom>
            <a:avLst/>
            <a:gdLst>
              <a:gd name="T0" fmla="*/ 23 w 825"/>
              <a:gd name="T1" fmla="*/ 0 h 1230"/>
              <a:gd name="T2" fmla="*/ 666 w 825"/>
              <a:gd name="T3" fmla="*/ 18 h 1230"/>
              <a:gd name="T4" fmla="*/ 729 w 825"/>
              <a:gd name="T5" fmla="*/ 24 h 1230"/>
              <a:gd name="T6" fmla="*/ 754 w 825"/>
              <a:gd name="T7" fmla="*/ 45 h 1230"/>
              <a:gd name="T8" fmla="*/ 747 w 825"/>
              <a:gd name="T9" fmla="*/ 82 h 1230"/>
              <a:gd name="T10" fmla="*/ 757 w 825"/>
              <a:gd name="T11" fmla="*/ 118 h 1230"/>
              <a:gd name="T12" fmla="*/ 762 w 825"/>
              <a:gd name="T13" fmla="*/ 143 h 1230"/>
              <a:gd name="T14" fmla="*/ 747 w 825"/>
              <a:gd name="T15" fmla="*/ 158 h 1230"/>
              <a:gd name="T16" fmla="*/ 749 w 825"/>
              <a:gd name="T17" fmla="*/ 181 h 1230"/>
              <a:gd name="T18" fmla="*/ 757 w 825"/>
              <a:gd name="T19" fmla="*/ 231 h 1230"/>
              <a:gd name="T20" fmla="*/ 744 w 825"/>
              <a:gd name="T21" fmla="*/ 246 h 1230"/>
              <a:gd name="T22" fmla="*/ 762 w 825"/>
              <a:gd name="T23" fmla="*/ 266 h 1230"/>
              <a:gd name="T24" fmla="*/ 784 w 825"/>
              <a:gd name="T25" fmla="*/ 266 h 1230"/>
              <a:gd name="T26" fmla="*/ 797 w 825"/>
              <a:gd name="T27" fmla="*/ 289 h 1230"/>
              <a:gd name="T28" fmla="*/ 794 w 825"/>
              <a:gd name="T29" fmla="*/ 319 h 1230"/>
              <a:gd name="T30" fmla="*/ 794 w 825"/>
              <a:gd name="T31" fmla="*/ 355 h 1230"/>
              <a:gd name="T32" fmla="*/ 807 w 825"/>
              <a:gd name="T33" fmla="*/ 367 h 1230"/>
              <a:gd name="T34" fmla="*/ 804 w 825"/>
              <a:gd name="T35" fmla="*/ 390 h 1230"/>
              <a:gd name="T36" fmla="*/ 817 w 825"/>
              <a:gd name="T37" fmla="*/ 408 h 1230"/>
              <a:gd name="T38" fmla="*/ 825 w 825"/>
              <a:gd name="T39" fmla="*/ 486 h 1230"/>
              <a:gd name="T40" fmla="*/ 816 w 825"/>
              <a:gd name="T41" fmla="*/ 569 h 1230"/>
              <a:gd name="T42" fmla="*/ 694 w 825"/>
              <a:gd name="T43" fmla="*/ 569 h 1230"/>
              <a:gd name="T44" fmla="*/ 693 w 825"/>
              <a:gd name="T45" fmla="*/ 645 h 1230"/>
              <a:gd name="T46" fmla="*/ 507 w 825"/>
              <a:gd name="T47" fmla="*/ 642 h 1230"/>
              <a:gd name="T48" fmla="*/ 495 w 825"/>
              <a:gd name="T49" fmla="*/ 1230 h 1230"/>
              <a:gd name="T50" fmla="*/ 306 w 825"/>
              <a:gd name="T51" fmla="*/ 1227 h 1230"/>
              <a:gd name="T52" fmla="*/ 314 w 825"/>
              <a:gd name="T53" fmla="*/ 630 h 1230"/>
              <a:gd name="T54" fmla="*/ 237 w 825"/>
              <a:gd name="T55" fmla="*/ 630 h 1230"/>
              <a:gd name="T56" fmla="*/ 242 w 825"/>
              <a:gd name="T57" fmla="*/ 548 h 1230"/>
              <a:gd name="T58" fmla="*/ 119 w 825"/>
              <a:gd name="T59" fmla="*/ 546 h 1230"/>
              <a:gd name="T60" fmla="*/ 116 w 825"/>
              <a:gd name="T61" fmla="*/ 471 h 1230"/>
              <a:gd name="T62" fmla="*/ 119 w 825"/>
              <a:gd name="T63" fmla="*/ 384 h 1230"/>
              <a:gd name="T64" fmla="*/ 0 w 825"/>
              <a:gd name="T65" fmla="*/ 382 h 1230"/>
              <a:gd name="T66" fmla="*/ 23 w 825"/>
              <a:gd name="T67" fmla="*/ 0 h 123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825"/>
              <a:gd name="T103" fmla="*/ 0 h 1230"/>
              <a:gd name="T104" fmla="*/ 825 w 825"/>
              <a:gd name="T105" fmla="*/ 1230 h 1230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825" h="1230">
                <a:moveTo>
                  <a:pt x="23" y="0"/>
                </a:moveTo>
                <a:lnTo>
                  <a:pt x="666" y="18"/>
                </a:lnTo>
                <a:lnTo>
                  <a:pt x="729" y="24"/>
                </a:lnTo>
                <a:lnTo>
                  <a:pt x="754" y="45"/>
                </a:lnTo>
                <a:lnTo>
                  <a:pt x="747" y="82"/>
                </a:lnTo>
                <a:lnTo>
                  <a:pt x="757" y="118"/>
                </a:lnTo>
                <a:lnTo>
                  <a:pt x="762" y="143"/>
                </a:lnTo>
                <a:lnTo>
                  <a:pt x="747" y="158"/>
                </a:lnTo>
                <a:lnTo>
                  <a:pt x="749" y="181"/>
                </a:lnTo>
                <a:lnTo>
                  <a:pt x="757" y="231"/>
                </a:lnTo>
                <a:lnTo>
                  <a:pt x="744" y="246"/>
                </a:lnTo>
                <a:lnTo>
                  <a:pt x="762" y="266"/>
                </a:lnTo>
                <a:lnTo>
                  <a:pt x="784" y="266"/>
                </a:lnTo>
                <a:lnTo>
                  <a:pt x="797" y="289"/>
                </a:lnTo>
                <a:lnTo>
                  <a:pt x="794" y="319"/>
                </a:lnTo>
                <a:lnTo>
                  <a:pt x="794" y="355"/>
                </a:lnTo>
                <a:lnTo>
                  <a:pt x="807" y="367"/>
                </a:lnTo>
                <a:lnTo>
                  <a:pt x="804" y="390"/>
                </a:lnTo>
                <a:lnTo>
                  <a:pt x="817" y="408"/>
                </a:lnTo>
                <a:lnTo>
                  <a:pt x="825" y="486"/>
                </a:lnTo>
                <a:lnTo>
                  <a:pt x="816" y="569"/>
                </a:lnTo>
                <a:lnTo>
                  <a:pt x="694" y="569"/>
                </a:lnTo>
                <a:lnTo>
                  <a:pt x="693" y="645"/>
                </a:lnTo>
                <a:lnTo>
                  <a:pt x="507" y="642"/>
                </a:lnTo>
                <a:lnTo>
                  <a:pt x="495" y="1230"/>
                </a:lnTo>
                <a:lnTo>
                  <a:pt x="306" y="1227"/>
                </a:lnTo>
                <a:lnTo>
                  <a:pt x="314" y="630"/>
                </a:lnTo>
                <a:lnTo>
                  <a:pt x="237" y="630"/>
                </a:lnTo>
                <a:lnTo>
                  <a:pt x="242" y="548"/>
                </a:lnTo>
                <a:lnTo>
                  <a:pt x="119" y="546"/>
                </a:lnTo>
                <a:lnTo>
                  <a:pt x="116" y="471"/>
                </a:lnTo>
                <a:lnTo>
                  <a:pt x="119" y="384"/>
                </a:lnTo>
                <a:lnTo>
                  <a:pt x="0" y="382"/>
                </a:lnTo>
                <a:lnTo>
                  <a:pt x="23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39" name="Freeform 1763">
            <a:extLst>
              <a:ext uri="{FF2B5EF4-FFF2-40B4-BE49-F238E27FC236}">
                <a16:creationId xmlns:a16="http://schemas.microsoft.com/office/drawing/2014/main" id="{00000000-0008-0000-0800-0000EB100300}"/>
              </a:ext>
            </a:extLst>
          </xdr:cNvPr>
          <xdr:cNvSpPr>
            <a:spLocks/>
          </xdr:cNvSpPr>
        </xdr:nvSpPr>
        <xdr:spPr bwMode="auto">
          <a:xfrm>
            <a:off x="1430" y="2229"/>
            <a:ext cx="627" cy="332"/>
          </a:xfrm>
          <a:custGeom>
            <a:avLst/>
            <a:gdLst>
              <a:gd name="T0" fmla="*/ 0 w 627"/>
              <a:gd name="T1" fmla="*/ 0 h 332"/>
              <a:gd name="T2" fmla="*/ 577 w 627"/>
              <a:gd name="T3" fmla="*/ 15 h 332"/>
              <a:gd name="T4" fmla="*/ 579 w 627"/>
              <a:gd name="T5" fmla="*/ 249 h 332"/>
              <a:gd name="T6" fmla="*/ 627 w 627"/>
              <a:gd name="T7" fmla="*/ 251 h 332"/>
              <a:gd name="T8" fmla="*/ 627 w 627"/>
              <a:gd name="T9" fmla="*/ 332 h 332"/>
              <a:gd name="T10" fmla="*/ 476 w 627"/>
              <a:gd name="T11" fmla="*/ 327 h 332"/>
              <a:gd name="T12" fmla="*/ 473 w 627"/>
              <a:gd name="T13" fmla="*/ 310 h 332"/>
              <a:gd name="T14" fmla="*/ 461 w 627"/>
              <a:gd name="T15" fmla="*/ 294 h 332"/>
              <a:gd name="T16" fmla="*/ 304 w 627"/>
              <a:gd name="T17" fmla="*/ 289 h 332"/>
              <a:gd name="T18" fmla="*/ 287 w 627"/>
              <a:gd name="T19" fmla="*/ 317 h 332"/>
              <a:gd name="T20" fmla="*/ 193 w 627"/>
              <a:gd name="T21" fmla="*/ 320 h 332"/>
              <a:gd name="T22" fmla="*/ 103 w 627"/>
              <a:gd name="T23" fmla="*/ 315 h 332"/>
              <a:gd name="T24" fmla="*/ 0 w 627"/>
              <a:gd name="T25" fmla="*/ 0 h 332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27"/>
              <a:gd name="T40" fmla="*/ 0 h 332"/>
              <a:gd name="T41" fmla="*/ 627 w 627"/>
              <a:gd name="T42" fmla="*/ 332 h 332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27" h="332">
                <a:moveTo>
                  <a:pt x="0" y="0"/>
                </a:moveTo>
                <a:lnTo>
                  <a:pt x="577" y="15"/>
                </a:lnTo>
                <a:lnTo>
                  <a:pt x="579" y="249"/>
                </a:lnTo>
                <a:lnTo>
                  <a:pt x="627" y="251"/>
                </a:lnTo>
                <a:lnTo>
                  <a:pt x="627" y="332"/>
                </a:lnTo>
                <a:lnTo>
                  <a:pt x="476" y="327"/>
                </a:lnTo>
                <a:lnTo>
                  <a:pt x="473" y="310"/>
                </a:lnTo>
                <a:lnTo>
                  <a:pt x="461" y="294"/>
                </a:lnTo>
                <a:lnTo>
                  <a:pt x="304" y="289"/>
                </a:lnTo>
                <a:lnTo>
                  <a:pt x="287" y="317"/>
                </a:lnTo>
                <a:lnTo>
                  <a:pt x="193" y="320"/>
                </a:lnTo>
                <a:lnTo>
                  <a:pt x="103" y="315"/>
                </a:lnTo>
                <a:lnTo>
                  <a:pt x="0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0" name="Freeform 1764">
            <a:extLst>
              <a:ext uri="{FF2B5EF4-FFF2-40B4-BE49-F238E27FC236}">
                <a16:creationId xmlns:a16="http://schemas.microsoft.com/office/drawing/2014/main" id="{00000000-0008-0000-0800-0000EC100300}"/>
              </a:ext>
            </a:extLst>
          </xdr:cNvPr>
          <xdr:cNvSpPr>
            <a:spLocks/>
          </xdr:cNvSpPr>
        </xdr:nvSpPr>
        <xdr:spPr bwMode="auto">
          <a:xfrm>
            <a:off x="1409" y="2459"/>
            <a:ext cx="494" cy="490"/>
          </a:xfrm>
          <a:custGeom>
            <a:avLst/>
            <a:gdLst>
              <a:gd name="T0" fmla="*/ 494 w 494"/>
              <a:gd name="T1" fmla="*/ 100 h 490"/>
              <a:gd name="T2" fmla="*/ 462 w 494"/>
              <a:gd name="T3" fmla="*/ 102 h 490"/>
              <a:gd name="T4" fmla="*/ 462 w 494"/>
              <a:gd name="T5" fmla="*/ 324 h 490"/>
              <a:gd name="T6" fmla="*/ 460 w 494"/>
              <a:gd name="T7" fmla="*/ 414 h 490"/>
              <a:gd name="T8" fmla="*/ 482 w 494"/>
              <a:gd name="T9" fmla="*/ 412 h 490"/>
              <a:gd name="T10" fmla="*/ 481 w 494"/>
              <a:gd name="T11" fmla="*/ 490 h 490"/>
              <a:gd name="T12" fmla="*/ 343 w 494"/>
              <a:gd name="T13" fmla="*/ 421 h 490"/>
              <a:gd name="T14" fmla="*/ 183 w 494"/>
              <a:gd name="T15" fmla="*/ 340 h 490"/>
              <a:gd name="T16" fmla="*/ 0 w 494"/>
              <a:gd name="T17" fmla="*/ 337 h 490"/>
              <a:gd name="T18" fmla="*/ 3 w 494"/>
              <a:gd name="T19" fmla="*/ 105 h 490"/>
              <a:gd name="T20" fmla="*/ 6 w 494"/>
              <a:gd name="T21" fmla="*/ 0 h 490"/>
              <a:gd name="T22" fmla="*/ 93 w 494"/>
              <a:gd name="T23" fmla="*/ 1 h 490"/>
              <a:gd name="T24" fmla="*/ 119 w 494"/>
              <a:gd name="T25" fmla="*/ 87 h 490"/>
              <a:gd name="T26" fmla="*/ 214 w 494"/>
              <a:gd name="T27" fmla="*/ 85 h 490"/>
              <a:gd name="T28" fmla="*/ 306 w 494"/>
              <a:gd name="T29" fmla="*/ 88 h 490"/>
              <a:gd name="T30" fmla="*/ 328 w 494"/>
              <a:gd name="T31" fmla="*/ 59 h 490"/>
              <a:gd name="T32" fmla="*/ 477 w 494"/>
              <a:gd name="T33" fmla="*/ 62 h 490"/>
              <a:gd name="T34" fmla="*/ 494 w 494"/>
              <a:gd name="T35" fmla="*/ 77 h 490"/>
              <a:gd name="T36" fmla="*/ 494 w 494"/>
              <a:gd name="T37" fmla="*/ 100 h 490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494"/>
              <a:gd name="T58" fmla="*/ 0 h 490"/>
              <a:gd name="T59" fmla="*/ 494 w 494"/>
              <a:gd name="T60" fmla="*/ 490 h 490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494" h="490">
                <a:moveTo>
                  <a:pt x="494" y="100"/>
                </a:moveTo>
                <a:lnTo>
                  <a:pt x="462" y="102"/>
                </a:lnTo>
                <a:lnTo>
                  <a:pt x="462" y="324"/>
                </a:lnTo>
                <a:lnTo>
                  <a:pt x="460" y="414"/>
                </a:lnTo>
                <a:lnTo>
                  <a:pt x="482" y="412"/>
                </a:lnTo>
                <a:lnTo>
                  <a:pt x="481" y="490"/>
                </a:lnTo>
                <a:lnTo>
                  <a:pt x="343" y="421"/>
                </a:lnTo>
                <a:lnTo>
                  <a:pt x="183" y="340"/>
                </a:lnTo>
                <a:lnTo>
                  <a:pt x="0" y="337"/>
                </a:lnTo>
                <a:lnTo>
                  <a:pt x="3" y="105"/>
                </a:lnTo>
                <a:lnTo>
                  <a:pt x="6" y="0"/>
                </a:lnTo>
                <a:lnTo>
                  <a:pt x="93" y="1"/>
                </a:lnTo>
                <a:lnTo>
                  <a:pt x="119" y="87"/>
                </a:lnTo>
                <a:lnTo>
                  <a:pt x="214" y="85"/>
                </a:lnTo>
                <a:lnTo>
                  <a:pt x="306" y="88"/>
                </a:lnTo>
                <a:lnTo>
                  <a:pt x="328" y="59"/>
                </a:lnTo>
                <a:lnTo>
                  <a:pt x="477" y="62"/>
                </a:lnTo>
                <a:lnTo>
                  <a:pt x="494" y="77"/>
                </a:lnTo>
                <a:lnTo>
                  <a:pt x="494" y="100"/>
                </a:lnTo>
                <a:close/>
              </a:path>
            </a:pathLst>
          </a:custGeom>
          <a:noFill/>
          <a:ln w="952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1" name="Freeform 1765">
            <a:extLst>
              <a:ext uri="{FF2B5EF4-FFF2-40B4-BE49-F238E27FC236}">
                <a16:creationId xmlns:a16="http://schemas.microsoft.com/office/drawing/2014/main" id="{00000000-0008-0000-0800-0000ED100300}"/>
              </a:ext>
            </a:extLst>
          </xdr:cNvPr>
          <xdr:cNvSpPr>
            <a:spLocks/>
          </xdr:cNvSpPr>
        </xdr:nvSpPr>
        <xdr:spPr bwMode="auto">
          <a:xfrm>
            <a:off x="240" y="2768"/>
            <a:ext cx="849" cy="1249"/>
          </a:xfrm>
          <a:custGeom>
            <a:avLst/>
            <a:gdLst>
              <a:gd name="T0" fmla="*/ 44 w 849"/>
              <a:gd name="T1" fmla="*/ 0 h 1249"/>
              <a:gd name="T2" fmla="*/ 849 w 849"/>
              <a:gd name="T3" fmla="*/ 21 h 1249"/>
              <a:gd name="T4" fmla="*/ 844 w 849"/>
              <a:gd name="T5" fmla="*/ 304 h 1249"/>
              <a:gd name="T6" fmla="*/ 839 w 849"/>
              <a:gd name="T7" fmla="*/ 588 h 1249"/>
              <a:gd name="T8" fmla="*/ 829 w 849"/>
              <a:gd name="T9" fmla="*/ 1012 h 1249"/>
              <a:gd name="T10" fmla="*/ 645 w 849"/>
              <a:gd name="T11" fmla="*/ 1012 h 1249"/>
              <a:gd name="T12" fmla="*/ 648 w 849"/>
              <a:gd name="T13" fmla="*/ 1249 h 1249"/>
              <a:gd name="T14" fmla="*/ 0 w 849"/>
              <a:gd name="T15" fmla="*/ 1228 h 1249"/>
              <a:gd name="T16" fmla="*/ 32 w 849"/>
              <a:gd name="T17" fmla="*/ 228 h 1249"/>
              <a:gd name="T18" fmla="*/ 44 w 849"/>
              <a:gd name="T19" fmla="*/ 0 h 1249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849"/>
              <a:gd name="T31" fmla="*/ 0 h 1249"/>
              <a:gd name="T32" fmla="*/ 849 w 849"/>
              <a:gd name="T33" fmla="*/ 1249 h 1249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849" h="1249">
                <a:moveTo>
                  <a:pt x="44" y="0"/>
                </a:moveTo>
                <a:lnTo>
                  <a:pt x="849" y="21"/>
                </a:lnTo>
                <a:lnTo>
                  <a:pt x="844" y="304"/>
                </a:lnTo>
                <a:lnTo>
                  <a:pt x="839" y="588"/>
                </a:lnTo>
                <a:lnTo>
                  <a:pt x="829" y="1012"/>
                </a:lnTo>
                <a:lnTo>
                  <a:pt x="645" y="1012"/>
                </a:lnTo>
                <a:lnTo>
                  <a:pt x="648" y="1249"/>
                </a:lnTo>
                <a:lnTo>
                  <a:pt x="0" y="1228"/>
                </a:lnTo>
                <a:lnTo>
                  <a:pt x="32" y="228"/>
                </a:lnTo>
                <a:lnTo>
                  <a:pt x="44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2" name="Freeform 1766">
            <a:extLst>
              <a:ext uri="{FF2B5EF4-FFF2-40B4-BE49-F238E27FC236}">
                <a16:creationId xmlns:a16="http://schemas.microsoft.com/office/drawing/2014/main" id="{00000000-0008-0000-0800-0000EE100300}"/>
              </a:ext>
            </a:extLst>
          </xdr:cNvPr>
          <xdr:cNvSpPr>
            <a:spLocks/>
          </xdr:cNvSpPr>
        </xdr:nvSpPr>
        <xdr:spPr bwMode="auto">
          <a:xfrm>
            <a:off x="1872" y="3895"/>
            <a:ext cx="968" cy="1268"/>
          </a:xfrm>
          <a:custGeom>
            <a:avLst/>
            <a:gdLst>
              <a:gd name="T0" fmla="*/ 43 w 968"/>
              <a:gd name="T1" fmla="*/ 0 h 1268"/>
              <a:gd name="T2" fmla="*/ 424 w 968"/>
              <a:gd name="T3" fmla="*/ 2 h 1268"/>
              <a:gd name="T4" fmla="*/ 424 w 968"/>
              <a:gd name="T5" fmla="*/ 78 h 1268"/>
              <a:gd name="T6" fmla="*/ 676 w 968"/>
              <a:gd name="T7" fmla="*/ 81 h 1268"/>
              <a:gd name="T8" fmla="*/ 676 w 968"/>
              <a:gd name="T9" fmla="*/ 260 h 1268"/>
              <a:gd name="T10" fmla="*/ 678 w 968"/>
              <a:gd name="T11" fmla="*/ 275 h 1268"/>
              <a:gd name="T12" fmla="*/ 671 w 968"/>
              <a:gd name="T13" fmla="*/ 396 h 1268"/>
              <a:gd name="T14" fmla="*/ 655 w 968"/>
              <a:gd name="T15" fmla="*/ 398 h 1268"/>
              <a:gd name="T16" fmla="*/ 650 w 968"/>
              <a:gd name="T17" fmla="*/ 802 h 1268"/>
              <a:gd name="T18" fmla="*/ 964 w 968"/>
              <a:gd name="T19" fmla="*/ 802 h 1268"/>
              <a:gd name="T20" fmla="*/ 968 w 968"/>
              <a:gd name="T21" fmla="*/ 1268 h 1268"/>
              <a:gd name="T22" fmla="*/ 0 w 968"/>
              <a:gd name="T23" fmla="*/ 1255 h 1268"/>
              <a:gd name="T24" fmla="*/ 5 w 968"/>
              <a:gd name="T25" fmla="*/ 963 h 1268"/>
              <a:gd name="T26" fmla="*/ 20 w 968"/>
              <a:gd name="T27" fmla="*/ 385 h 1268"/>
              <a:gd name="T28" fmla="*/ 35 w 968"/>
              <a:gd name="T29" fmla="*/ 386 h 1268"/>
              <a:gd name="T30" fmla="*/ 42 w 968"/>
              <a:gd name="T31" fmla="*/ 47 h 1268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968"/>
              <a:gd name="T49" fmla="*/ 0 h 1268"/>
              <a:gd name="T50" fmla="*/ 968 w 968"/>
              <a:gd name="T51" fmla="*/ 1268 h 1268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968" h="1268">
                <a:moveTo>
                  <a:pt x="43" y="0"/>
                </a:moveTo>
                <a:lnTo>
                  <a:pt x="424" y="2"/>
                </a:lnTo>
                <a:lnTo>
                  <a:pt x="424" y="78"/>
                </a:lnTo>
                <a:lnTo>
                  <a:pt x="676" y="81"/>
                </a:lnTo>
                <a:lnTo>
                  <a:pt x="676" y="260"/>
                </a:lnTo>
                <a:lnTo>
                  <a:pt x="678" y="275"/>
                </a:lnTo>
                <a:lnTo>
                  <a:pt x="671" y="396"/>
                </a:lnTo>
                <a:lnTo>
                  <a:pt x="655" y="398"/>
                </a:lnTo>
                <a:lnTo>
                  <a:pt x="650" y="802"/>
                </a:lnTo>
                <a:lnTo>
                  <a:pt x="964" y="802"/>
                </a:lnTo>
                <a:lnTo>
                  <a:pt x="968" y="1268"/>
                </a:lnTo>
                <a:lnTo>
                  <a:pt x="0" y="1255"/>
                </a:lnTo>
                <a:lnTo>
                  <a:pt x="5" y="963"/>
                </a:lnTo>
                <a:lnTo>
                  <a:pt x="20" y="385"/>
                </a:lnTo>
                <a:lnTo>
                  <a:pt x="35" y="386"/>
                </a:lnTo>
                <a:lnTo>
                  <a:pt x="42" y="47"/>
                </a:lnTo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3" name="Freeform 1767">
            <a:extLst>
              <a:ext uri="{FF2B5EF4-FFF2-40B4-BE49-F238E27FC236}">
                <a16:creationId xmlns:a16="http://schemas.microsoft.com/office/drawing/2014/main" id="{00000000-0008-0000-0800-0000EF100300}"/>
              </a:ext>
            </a:extLst>
          </xdr:cNvPr>
          <xdr:cNvSpPr>
            <a:spLocks/>
          </xdr:cNvSpPr>
        </xdr:nvSpPr>
        <xdr:spPr bwMode="auto">
          <a:xfrm>
            <a:off x="174" y="4382"/>
            <a:ext cx="543" cy="1314"/>
          </a:xfrm>
          <a:custGeom>
            <a:avLst/>
            <a:gdLst>
              <a:gd name="T0" fmla="*/ 50 w 543"/>
              <a:gd name="T1" fmla="*/ 0 h 1314"/>
              <a:gd name="T2" fmla="*/ 167 w 543"/>
              <a:gd name="T3" fmla="*/ 3 h 1314"/>
              <a:gd name="T4" fmla="*/ 162 w 543"/>
              <a:gd name="T5" fmla="*/ 163 h 1314"/>
              <a:gd name="T6" fmla="*/ 282 w 543"/>
              <a:gd name="T7" fmla="*/ 169 h 1314"/>
              <a:gd name="T8" fmla="*/ 285 w 543"/>
              <a:gd name="T9" fmla="*/ 250 h 1314"/>
              <a:gd name="T10" fmla="*/ 353 w 543"/>
              <a:gd name="T11" fmla="*/ 249 h 1314"/>
              <a:gd name="T12" fmla="*/ 354 w 543"/>
              <a:gd name="T13" fmla="*/ 844 h 1314"/>
              <a:gd name="T14" fmla="*/ 357 w 543"/>
              <a:gd name="T15" fmla="*/ 844 h 1314"/>
              <a:gd name="T16" fmla="*/ 543 w 543"/>
              <a:gd name="T17" fmla="*/ 844 h 1314"/>
              <a:gd name="T18" fmla="*/ 531 w 543"/>
              <a:gd name="T19" fmla="*/ 1314 h 1314"/>
              <a:gd name="T20" fmla="*/ 0 w 543"/>
              <a:gd name="T21" fmla="*/ 1309 h 1314"/>
              <a:gd name="T22" fmla="*/ 50 w 543"/>
              <a:gd name="T23" fmla="*/ 0 h 1314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543"/>
              <a:gd name="T37" fmla="*/ 0 h 1314"/>
              <a:gd name="T38" fmla="*/ 543 w 543"/>
              <a:gd name="T39" fmla="*/ 1314 h 1314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543" h="1314">
                <a:moveTo>
                  <a:pt x="50" y="0"/>
                </a:moveTo>
                <a:lnTo>
                  <a:pt x="167" y="3"/>
                </a:lnTo>
                <a:lnTo>
                  <a:pt x="162" y="163"/>
                </a:lnTo>
                <a:lnTo>
                  <a:pt x="282" y="169"/>
                </a:lnTo>
                <a:lnTo>
                  <a:pt x="285" y="250"/>
                </a:lnTo>
                <a:lnTo>
                  <a:pt x="353" y="249"/>
                </a:lnTo>
                <a:lnTo>
                  <a:pt x="354" y="844"/>
                </a:lnTo>
                <a:lnTo>
                  <a:pt x="357" y="844"/>
                </a:lnTo>
                <a:lnTo>
                  <a:pt x="543" y="844"/>
                </a:lnTo>
                <a:lnTo>
                  <a:pt x="531" y="1314"/>
                </a:lnTo>
                <a:lnTo>
                  <a:pt x="0" y="1309"/>
                </a:lnTo>
                <a:lnTo>
                  <a:pt x="50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4" name="Freeform 1768">
            <a:extLst>
              <a:ext uri="{FF2B5EF4-FFF2-40B4-BE49-F238E27FC236}">
                <a16:creationId xmlns:a16="http://schemas.microsoft.com/office/drawing/2014/main" id="{00000000-0008-0000-0800-0000F0100300}"/>
              </a:ext>
            </a:extLst>
          </xdr:cNvPr>
          <xdr:cNvSpPr>
            <a:spLocks/>
          </xdr:cNvSpPr>
        </xdr:nvSpPr>
        <xdr:spPr bwMode="auto">
          <a:xfrm>
            <a:off x="3351" y="642"/>
            <a:ext cx="606" cy="1146"/>
          </a:xfrm>
          <a:custGeom>
            <a:avLst/>
            <a:gdLst>
              <a:gd name="T0" fmla="*/ 3 w 606"/>
              <a:gd name="T1" fmla="*/ 0 h 1146"/>
              <a:gd name="T2" fmla="*/ 603 w 606"/>
              <a:gd name="T3" fmla="*/ 3 h 1146"/>
              <a:gd name="T4" fmla="*/ 606 w 606"/>
              <a:gd name="T5" fmla="*/ 450 h 1146"/>
              <a:gd name="T6" fmla="*/ 582 w 606"/>
              <a:gd name="T7" fmla="*/ 447 h 1146"/>
              <a:gd name="T8" fmla="*/ 591 w 606"/>
              <a:gd name="T9" fmla="*/ 1143 h 1146"/>
              <a:gd name="T10" fmla="*/ 390 w 606"/>
              <a:gd name="T11" fmla="*/ 1146 h 1146"/>
              <a:gd name="T12" fmla="*/ 387 w 606"/>
              <a:gd name="T13" fmla="*/ 834 h 1146"/>
              <a:gd name="T14" fmla="*/ 135 w 606"/>
              <a:gd name="T15" fmla="*/ 834 h 1146"/>
              <a:gd name="T16" fmla="*/ 137 w 606"/>
              <a:gd name="T17" fmla="*/ 752 h 1146"/>
              <a:gd name="T18" fmla="*/ 0 w 606"/>
              <a:gd name="T19" fmla="*/ 747 h 1146"/>
              <a:gd name="T20" fmla="*/ 3 w 606"/>
              <a:gd name="T21" fmla="*/ 0 h 114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606"/>
              <a:gd name="T34" fmla="*/ 0 h 1146"/>
              <a:gd name="T35" fmla="*/ 606 w 606"/>
              <a:gd name="T36" fmla="*/ 1146 h 114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606" h="1146">
                <a:moveTo>
                  <a:pt x="3" y="0"/>
                </a:moveTo>
                <a:lnTo>
                  <a:pt x="603" y="3"/>
                </a:lnTo>
                <a:lnTo>
                  <a:pt x="606" y="450"/>
                </a:lnTo>
                <a:lnTo>
                  <a:pt x="582" y="447"/>
                </a:lnTo>
                <a:cubicBezTo>
                  <a:pt x="585" y="679"/>
                  <a:pt x="591" y="1143"/>
                  <a:pt x="591" y="1143"/>
                </a:cubicBezTo>
                <a:lnTo>
                  <a:pt x="390" y="1146"/>
                </a:lnTo>
                <a:lnTo>
                  <a:pt x="387" y="834"/>
                </a:lnTo>
                <a:lnTo>
                  <a:pt x="135" y="834"/>
                </a:lnTo>
                <a:lnTo>
                  <a:pt x="137" y="752"/>
                </a:lnTo>
                <a:cubicBezTo>
                  <a:pt x="95" y="750"/>
                  <a:pt x="0" y="747"/>
                  <a:pt x="0" y="747"/>
                </a:cubicBezTo>
                <a:lnTo>
                  <a:pt x="3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5" name="Freeform 1769">
            <a:extLst>
              <a:ext uri="{FF2B5EF4-FFF2-40B4-BE49-F238E27FC236}">
                <a16:creationId xmlns:a16="http://schemas.microsoft.com/office/drawing/2014/main" id="{00000000-0008-0000-0800-0000F1100300}"/>
              </a:ext>
            </a:extLst>
          </xdr:cNvPr>
          <xdr:cNvSpPr>
            <a:spLocks/>
          </xdr:cNvSpPr>
        </xdr:nvSpPr>
        <xdr:spPr bwMode="auto">
          <a:xfrm>
            <a:off x="2321" y="1308"/>
            <a:ext cx="838" cy="447"/>
          </a:xfrm>
          <a:custGeom>
            <a:avLst/>
            <a:gdLst>
              <a:gd name="T0" fmla="*/ 213 w 838"/>
              <a:gd name="T1" fmla="*/ 0 h 447"/>
              <a:gd name="T2" fmla="*/ 520 w 838"/>
              <a:gd name="T3" fmla="*/ 3 h 447"/>
              <a:gd name="T4" fmla="*/ 520 w 838"/>
              <a:gd name="T5" fmla="*/ 39 h 447"/>
              <a:gd name="T6" fmla="*/ 775 w 838"/>
              <a:gd name="T7" fmla="*/ 39 h 447"/>
              <a:gd name="T8" fmla="*/ 778 w 838"/>
              <a:gd name="T9" fmla="*/ 69 h 447"/>
              <a:gd name="T10" fmla="*/ 790 w 838"/>
              <a:gd name="T11" fmla="*/ 96 h 447"/>
              <a:gd name="T12" fmla="*/ 790 w 838"/>
              <a:gd name="T13" fmla="*/ 123 h 447"/>
              <a:gd name="T14" fmla="*/ 796 w 838"/>
              <a:gd name="T15" fmla="*/ 141 h 447"/>
              <a:gd name="T16" fmla="*/ 808 w 838"/>
              <a:gd name="T17" fmla="*/ 165 h 447"/>
              <a:gd name="T18" fmla="*/ 826 w 838"/>
              <a:gd name="T19" fmla="*/ 225 h 447"/>
              <a:gd name="T20" fmla="*/ 829 w 838"/>
              <a:gd name="T21" fmla="*/ 243 h 447"/>
              <a:gd name="T22" fmla="*/ 838 w 838"/>
              <a:gd name="T23" fmla="*/ 282 h 447"/>
              <a:gd name="T24" fmla="*/ 829 w 838"/>
              <a:gd name="T25" fmla="*/ 321 h 447"/>
              <a:gd name="T26" fmla="*/ 817 w 838"/>
              <a:gd name="T27" fmla="*/ 351 h 447"/>
              <a:gd name="T28" fmla="*/ 808 w 838"/>
              <a:gd name="T29" fmla="*/ 387 h 447"/>
              <a:gd name="T30" fmla="*/ 814 w 838"/>
              <a:gd name="T31" fmla="*/ 405 h 447"/>
              <a:gd name="T32" fmla="*/ 823 w 838"/>
              <a:gd name="T33" fmla="*/ 438 h 447"/>
              <a:gd name="T34" fmla="*/ 472 w 838"/>
              <a:gd name="T35" fmla="*/ 441 h 447"/>
              <a:gd name="T36" fmla="*/ 406 w 838"/>
              <a:gd name="T37" fmla="*/ 447 h 447"/>
              <a:gd name="T38" fmla="*/ 364 w 838"/>
              <a:gd name="T39" fmla="*/ 417 h 447"/>
              <a:gd name="T40" fmla="*/ 319 w 838"/>
              <a:gd name="T41" fmla="*/ 399 h 447"/>
              <a:gd name="T42" fmla="*/ 304 w 838"/>
              <a:gd name="T43" fmla="*/ 387 h 447"/>
              <a:gd name="T44" fmla="*/ 280 w 838"/>
              <a:gd name="T45" fmla="*/ 372 h 447"/>
              <a:gd name="T46" fmla="*/ 253 w 838"/>
              <a:gd name="T47" fmla="*/ 369 h 447"/>
              <a:gd name="T48" fmla="*/ 214 w 838"/>
              <a:gd name="T49" fmla="*/ 357 h 447"/>
              <a:gd name="T50" fmla="*/ 3 w 838"/>
              <a:gd name="T51" fmla="*/ 357 h 447"/>
              <a:gd name="T52" fmla="*/ 0 w 838"/>
              <a:gd name="T53" fmla="*/ 267 h 447"/>
              <a:gd name="T54" fmla="*/ 39 w 838"/>
              <a:gd name="T55" fmla="*/ 267 h 447"/>
              <a:gd name="T56" fmla="*/ 108 w 838"/>
              <a:gd name="T57" fmla="*/ 251 h 447"/>
              <a:gd name="T58" fmla="*/ 121 w 838"/>
              <a:gd name="T59" fmla="*/ 210 h 447"/>
              <a:gd name="T60" fmla="*/ 160 w 838"/>
              <a:gd name="T61" fmla="*/ 186 h 447"/>
              <a:gd name="T62" fmla="*/ 175 w 838"/>
              <a:gd name="T63" fmla="*/ 156 h 447"/>
              <a:gd name="T64" fmla="*/ 172 w 838"/>
              <a:gd name="T65" fmla="*/ 138 h 447"/>
              <a:gd name="T66" fmla="*/ 187 w 838"/>
              <a:gd name="T67" fmla="*/ 117 h 447"/>
              <a:gd name="T68" fmla="*/ 184 w 838"/>
              <a:gd name="T69" fmla="*/ 69 h 447"/>
              <a:gd name="T70" fmla="*/ 172 w 838"/>
              <a:gd name="T71" fmla="*/ 54 h 447"/>
              <a:gd name="T72" fmla="*/ 178 w 838"/>
              <a:gd name="T73" fmla="*/ 33 h 447"/>
              <a:gd name="T74" fmla="*/ 213 w 838"/>
              <a:gd name="T75" fmla="*/ 0 h 447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838"/>
              <a:gd name="T115" fmla="*/ 0 h 447"/>
              <a:gd name="T116" fmla="*/ 838 w 838"/>
              <a:gd name="T117" fmla="*/ 447 h 447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838" h="447">
                <a:moveTo>
                  <a:pt x="213" y="0"/>
                </a:moveTo>
                <a:lnTo>
                  <a:pt x="520" y="3"/>
                </a:lnTo>
                <a:lnTo>
                  <a:pt x="520" y="39"/>
                </a:lnTo>
                <a:lnTo>
                  <a:pt x="775" y="39"/>
                </a:lnTo>
                <a:lnTo>
                  <a:pt x="778" y="69"/>
                </a:lnTo>
                <a:lnTo>
                  <a:pt x="790" y="96"/>
                </a:lnTo>
                <a:lnTo>
                  <a:pt x="790" y="123"/>
                </a:lnTo>
                <a:lnTo>
                  <a:pt x="796" y="141"/>
                </a:lnTo>
                <a:lnTo>
                  <a:pt x="808" y="165"/>
                </a:lnTo>
                <a:lnTo>
                  <a:pt x="826" y="225"/>
                </a:lnTo>
                <a:lnTo>
                  <a:pt x="829" y="243"/>
                </a:lnTo>
                <a:lnTo>
                  <a:pt x="838" y="282"/>
                </a:lnTo>
                <a:lnTo>
                  <a:pt x="829" y="321"/>
                </a:lnTo>
                <a:lnTo>
                  <a:pt x="817" y="351"/>
                </a:lnTo>
                <a:lnTo>
                  <a:pt x="808" y="387"/>
                </a:lnTo>
                <a:lnTo>
                  <a:pt x="814" y="405"/>
                </a:lnTo>
                <a:lnTo>
                  <a:pt x="823" y="438"/>
                </a:lnTo>
                <a:lnTo>
                  <a:pt x="472" y="441"/>
                </a:lnTo>
                <a:lnTo>
                  <a:pt x="406" y="447"/>
                </a:lnTo>
                <a:lnTo>
                  <a:pt x="364" y="417"/>
                </a:lnTo>
                <a:lnTo>
                  <a:pt x="319" y="399"/>
                </a:lnTo>
                <a:lnTo>
                  <a:pt x="304" y="387"/>
                </a:lnTo>
                <a:lnTo>
                  <a:pt x="280" y="372"/>
                </a:lnTo>
                <a:lnTo>
                  <a:pt x="253" y="369"/>
                </a:lnTo>
                <a:lnTo>
                  <a:pt x="214" y="357"/>
                </a:lnTo>
                <a:lnTo>
                  <a:pt x="3" y="357"/>
                </a:lnTo>
                <a:lnTo>
                  <a:pt x="0" y="267"/>
                </a:lnTo>
                <a:lnTo>
                  <a:pt x="39" y="267"/>
                </a:lnTo>
                <a:lnTo>
                  <a:pt x="108" y="251"/>
                </a:lnTo>
                <a:lnTo>
                  <a:pt x="121" y="210"/>
                </a:lnTo>
                <a:lnTo>
                  <a:pt x="160" y="186"/>
                </a:lnTo>
                <a:lnTo>
                  <a:pt x="175" y="156"/>
                </a:lnTo>
                <a:lnTo>
                  <a:pt x="172" y="138"/>
                </a:lnTo>
                <a:lnTo>
                  <a:pt x="187" y="117"/>
                </a:lnTo>
                <a:cubicBezTo>
                  <a:pt x="186" y="101"/>
                  <a:pt x="184" y="69"/>
                  <a:pt x="184" y="69"/>
                </a:cubicBezTo>
                <a:lnTo>
                  <a:pt x="172" y="54"/>
                </a:lnTo>
                <a:lnTo>
                  <a:pt x="178" y="33"/>
                </a:lnTo>
                <a:cubicBezTo>
                  <a:pt x="195" y="23"/>
                  <a:pt x="213" y="0"/>
                  <a:pt x="213" y="0"/>
                </a:cubicBez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6" name="Freeform 1770">
            <a:extLst>
              <a:ext uri="{FF2B5EF4-FFF2-40B4-BE49-F238E27FC236}">
                <a16:creationId xmlns:a16="http://schemas.microsoft.com/office/drawing/2014/main" id="{00000000-0008-0000-0800-0000F2100300}"/>
              </a:ext>
            </a:extLst>
          </xdr:cNvPr>
          <xdr:cNvSpPr>
            <a:spLocks/>
          </xdr:cNvSpPr>
        </xdr:nvSpPr>
        <xdr:spPr bwMode="auto">
          <a:xfrm>
            <a:off x="3096" y="1350"/>
            <a:ext cx="645" cy="750"/>
          </a:xfrm>
          <a:custGeom>
            <a:avLst/>
            <a:gdLst>
              <a:gd name="T0" fmla="*/ 3 w 645"/>
              <a:gd name="T1" fmla="*/ 0 h 750"/>
              <a:gd name="T2" fmla="*/ 255 w 645"/>
              <a:gd name="T3" fmla="*/ 3 h 750"/>
              <a:gd name="T4" fmla="*/ 254 w 645"/>
              <a:gd name="T5" fmla="*/ 41 h 750"/>
              <a:gd name="T6" fmla="*/ 389 w 645"/>
              <a:gd name="T7" fmla="*/ 44 h 750"/>
              <a:gd name="T8" fmla="*/ 390 w 645"/>
              <a:gd name="T9" fmla="*/ 126 h 750"/>
              <a:gd name="T10" fmla="*/ 642 w 645"/>
              <a:gd name="T11" fmla="*/ 126 h 750"/>
              <a:gd name="T12" fmla="*/ 645 w 645"/>
              <a:gd name="T13" fmla="*/ 723 h 750"/>
              <a:gd name="T14" fmla="*/ 618 w 645"/>
              <a:gd name="T15" fmla="*/ 750 h 750"/>
              <a:gd name="T16" fmla="*/ 489 w 645"/>
              <a:gd name="T17" fmla="*/ 747 h 750"/>
              <a:gd name="T18" fmla="*/ 489 w 645"/>
              <a:gd name="T19" fmla="*/ 723 h 750"/>
              <a:gd name="T20" fmla="*/ 444 w 645"/>
              <a:gd name="T21" fmla="*/ 723 h 750"/>
              <a:gd name="T22" fmla="*/ 279 w 645"/>
              <a:gd name="T23" fmla="*/ 387 h 750"/>
              <a:gd name="T24" fmla="*/ 246 w 645"/>
              <a:gd name="T25" fmla="*/ 393 h 750"/>
              <a:gd name="T26" fmla="*/ 50 w 645"/>
              <a:gd name="T27" fmla="*/ 395 h 750"/>
              <a:gd name="T28" fmla="*/ 42 w 645"/>
              <a:gd name="T29" fmla="*/ 365 h 750"/>
              <a:gd name="T30" fmla="*/ 36 w 645"/>
              <a:gd name="T31" fmla="*/ 333 h 750"/>
              <a:gd name="T32" fmla="*/ 42 w 645"/>
              <a:gd name="T33" fmla="*/ 300 h 750"/>
              <a:gd name="T34" fmla="*/ 54 w 645"/>
              <a:gd name="T35" fmla="*/ 264 h 750"/>
              <a:gd name="T36" fmla="*/ 59 w 645"/>
              <a:gd name="T37" fmla="*/ 237 h 750"/>
              <a:gd name="T38" fmla="*/ 51 w 645"/>
              <a:gd name="T39" fmla="*/ 198 h 750"/>
              <a:gd name="T40" fmla="*/ 21 w 645"/>
              <a:gd name="T41" fmla="*/ 99 h 750"/>
              <a:gd name="T42" fmla="*/ 12 w 645"/>
              <a:gd name="T43" fmla="*/ 75 h 750"/>
              <a:gd name="T44" fmla="*/ 12 w 645"/>
              <a:gd name="T45" fmla="*/ 54 h 750"/>
              <a:gd name="T46" fmla="*/ 0 w 645"/>
              <a:gd name="T47" fmla="*/ 30 h 750"/>
              <a:gd name="T48" fmla="*/ 3 w 645"/>
              <a:gd name="T49" fmla="*/ 0 h 750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645"/>
              <a:gd name="T76" fmla="*/ 0 h 750"/>
              <a:gd name="T77" fmla="*/ 645 w 645"/>
              <a:gd name="T78" fmla="*/ 750 h 750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645" h="750">
                <a:moveTo>
                  <a:pt x="3" y="0"/>
                </a:moveTo>
                <a:lnTo>
                  <a:pt x="255" y="3"/>
                </a:lnTo>
                <a:lnTo>
                  <a:pt x="254" y="41"/>
                </a:lnTo>
                <a:lnTo>
                  <a:pt x="389" y="44"/>
                </a:lnTo>
                <a:lnTo>
                  <a:pt x="390" y="126"/>
                </a:lnTo>
                <a:lnTo>
                  <a:pt x="642" y="126"/>
                </a:lnTo>
                <a:lnTo>
                  <a:pt x="645" y="723"/>
                </a:lnTo>
                <a:lnTo>
                  <a:pt x="618" y="750"/>
                </a:lnTo>
                <a:lnTo>
                  <a:pt x="489" y="747"/>
                </a:lnTo>
                <a:lnTo>
                  <a:pt x="489" y="723"/>
                </a:lnTo>
                <a:lnTo>
                  <a:pt x="444" y="723"/>
                </a:lnTo>
                <a:cubicBezTo>
                  <a:pt x="276" y="377"/>
                  <a:pt x="312" y="442"/>
                  <a:pt x="279" y="387"/>
                </a:cubicBezTo>
                <a:lnTo>
                  <a:pt x="246" y="393"/>
                </a:lnTo>
                <a:lnTo>
                  <a:pt x="50" y="395"/>
                </a:lnTo>
                <a:lnTo>
                  <a:pt x="42" y="365"/>
                </a:lnTo>
                <a:lnTo>
                  <a:pt x="36" y="333"/>
                </a:lnTo>
                <a:lnTo>
                  <a:pt x="42" y="300"/>
                </a:lnTo>
                <a:lnTo>
                  <a:pt x="54" y="264"/>
                </a:lnTo>
                <a:lnTo>
                  <a:pt x="59" y="237"/>
                </a:lnTo>
                <a:lnTo>
                  <a:pt x="51" y="198"/>
                </a:lnTo>
                <a:lnTo>
                  <a:pt x="21" y="99"/>
                </a:lnTo>
                <a:lnTo>
                  <a:pt x="12" y="75"/>
                </a:lnTo>
                <a:lnTo>
                  <a:pt x="12" y="54"/>
                </a:lnTo>
                <a:lnTo>
                  <a:pt x="0" y="30"/>
                </a:lnTo>
                <a:lnTo>
                  <a:pt x="3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7" name="Freeform 1771">
            <a:extLst>
              <a:ext uri="{FF2B5EF4-FFF2-40B4-BE49-F238E27FC236}">
                <a16:creationId xmlns:a16="http://schemas.microsoft.com/office/drawing/2014/main" id="{00000000-0008-0000-0800-0000F3100300}"/>
              </a:ext>
            </a:extLst>
          </xdr:cNvPr>
          <xdr:cNvSpPr>
            <a:spLocks/>
          </xdr:cNvSpPr>
        </xdr:nvSpPr>
        <xdr:spPr bwMode="auto">
          <a:xfrm>
            <a:off x="3285" y="1784"/>
            <a:ext cx="663" cy="1027"/>
          </a:xfrm>
          <a:custGeom>
            <a:avLst/>
            <a:gdLst>
              <a:gd name="T0" fmla="*/ 657 w 663"/>
              <a:gd name="T1" fmla="*/ 4 h 1027"/>
              <a:gd name="T2" fmla="*/ 663 w 663"/>
              <a:gd name="T3" fmla="*/ 709 h 1027"/>
              <a:gd name="T4" fmla="*/ 519 w 663"/>
              <a:gd name="T5" fmla="*/ 709 h 1027"/>
              <a:gd name="T6" fmla="*/ 516 w 663"/>
              <a:gd name="T7" fmla="*/ 787 h 1027"/>
              <a:gd name="T8" fmla="*/ 453 w 663"/>
              <a:gd name="T9" fmla="*/ 787 h 1027"/>
              <a:gd name="T10" fmla="*/ 453 w 663"/>
              <a:gd name="T11" fmla="*/ 862 h 1027"/>
              <a:gd name="T12" fmla="*/ 390 w 663"/>
              <a:gd name="T13" fmla="*/ 862 h 1027"/>
              <a:gd name="T14" fmla="*/ 387 w 663"/>
              <a:gd name="T15" fmla="*/ 946 h 1027"/>
              <a:gd name="T16" fmla="*/ 264 w 663"/>
              <a:gd name="T17" fmla="*/ 949 h 1027"/>
              <a:gd name="T18" fmla="*/ 264 w 663"/>
              <a:gd name="T19" fmla="*/ 1027 h 1027"/>
              <a:gd name="T20" fmla="*/ 191 w 663"/>
              <a:gd name="T21" fmla="*/ 1026 h 1027"/>
              <a:gd name="T22" fmla="*/ 2 w 663"/>
              <a:gd name="T23" fmla="*/ 1027 h 1027"/>
              <a:gd name="T24" fmla="*/ 0 w 663"/>
              <a:gd name="T25" fmla="*/ 532 h 1027"/>
              <a:gd name="T26" fmla="*/ 66 w 663"/>
              <a:gd name="T27" fmla="*/ 502 h 1027"/>
              <a:gd name="T28" fmla="*/ 105 w 663"/>
              <a:gd name="T29" fmla="*/ 478 h 1027"/>
              <a:gd name="T30" fmla="*/ 159 w 663"/>
              <a:gd name="T31" fmla="*/ 436 h 1027"/>
              <a:gd name="T32" fmla="*/ 174 w 663"/>
              <a:gd name="T33" fmla="*/ 454 h 1027"/>
              <a:gd name="T34" fmla="*/ 303 w 663"/>
              <a:gd name="T35" fmla="*/ 451 h 1027"/>
              <a:gd name="T36" fmla="*/ 306 w 663"/>
              <a:gd name="T37" fmla="*/ 316 h 1027"/>
              <a:gd name="T38" fmla="*/ 429 w 663"/>
              <a:gd name="T39" fmla="*/ 316 h 1027"/>
              <a:gd name="T40" fmla="*/ 453 w 663"/>
              <a:gd name="T41" fmla="*/ 295 h 1027"/>
              <a:gd name="T42" fmla="*/ 455 w 663"/>
              <a:gd name="T43" fmla="*/ 0 h 1027"/>
              <a:gd name="T44" fmla="*/ 657 w 663"/>
              <a:gd name="T45" fmla="*/ 4 h 102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w 663"/>
              <a:gd name="T70" fmla="*/ 0 h 1027"/>
              <a:gd name="T71" fmla="*/ 663 w 663"/>
              <a:gd name="T72" fmla="*/ 1027 h 1027"/>
            </a:gdLst>
            <a:ahLst/>
            <a:cxnLst>
              <a:cxn ang="T46">
                <a:pos x="T0" y="T1"/>
              </a:cxn>
              <a:cxn ang="T47">
                <a:pos x="T2" y="T3"/>
              </a:cxn>
              <a:cxn ang="T48">
                <a:pos x="T4" y="T5"/>
              </a:cxn>
              <a:cxn ang="T49">
                <a:pos x="T6" y="T7"/>
              </a:cxn>
              <a:cxn ang="T50">
                <a:pos x="T8" y="T9"/>
              </a:cxn>
              <a:cxn ang="T51">
                <a:pos x="T10" y="T11"/>
              </a:cxn>
              <a:cxn ang="T52">
                <a:pos x="T12" y="T13"/>
              </a:cxn>
              <a:cxn ang="T53">
                <a:pos x="T14" y="T15"/>
              </a:cxn>
              <a:cxn ang="T54">
                <a:pos x="T16" y="T17"/>
              </a:cxn>
              <a:cxn ang="T55">
                <a:pos x="T18" y="T19"/>
              </a:cxn>
              <a:cxn ang="T56">
                <a:pos x="T20" y="T21"/>
              </a:cxn>
              <a:cxn ang="T57">
                <a:pos x="T22" y="T23"/>
              </a:cxn>
              <a:cxn ang="T58">
                <a:pos x="T24" y="T25"/>
              </a:cxn>
              <a:cxn ang="T59">
                <a:pos x="T26" y="T27"/>
              </a:cxn>
              <a:cxn ang="T60">
                <a:pos x="T28" y="T29"/>
              </a:cxn>
              <a:cxn ang="T61">
                <a:pos x="T30" y="T31"/>
              </a:cxn>
              <a:cxn ang="T62">
                <a:pos x="T32" y="T33"/>
              </a:cxn>
              <a:cxn ang="T63">
                <a:pos x="T34" y="T35"/>
              </a:cxn>
              <a:cxn ang="T64">
                <a:pos x="T36" y="T37"/>
              </a:cxn>
              <a:cxn ang="T65">
                <a:pos x="T38" y="T39"/>
              </a:cxn>
              <a:cxn ang="T66">
                <a:pos x="T40" y="T41"/>
              </a:cxn>
              <a:cxn ang="T67">
                <a:pos x="T42" y="T43"/>
              </a:cxn>
              <a:cxn ang="T68">
                <a:pos x="T44" y="T45"/>
              </a:cxn>
            </a:cxnLst>
            <a:rect l="T69" t="T70" r="T71" b="T72"/>
            <a:pathLst>
              <a:path w="663" h="1027">
                <a:moveTo>
                  <a:pt x="657" y="4"/>
                </a:moveTo>
                <a:lnTo>
                  <a:pt x="663" y="709"/>
                </a:lnTo>
                <a:lnTo>
                  <a:pt x="519" y="709"/>
                </a:lnTo>
                <a:lnTo>
                  <a:pt x="516" y="787"/>
                </a:lnTo>
                <a:lnTo>
                  <a:pt x="453" y="787"/>
                </a:lnTo>
                <a:lnTo>
                  <a:pt x="453" y="862"/>
                </a:lnTo>
                <a:lnTo>
                  <a:pt x="390" y="862"/>
                </a:lnTo>
                <a:lnTo>
                  <a:pt x="387" y="946"/>
                </a:lnTo>
                <a:lnTo>
                  <a:pt x="264" y="949"/>
                </a:lnTo>
                <a:lnTo>
                  <a:pt x="264" y="1027"/>
                </a:lnTo>
                <a:lnTo>
                  <a:pt x="191" y="1026"/>
                </a:lnTo>
                <a:lnTo>
                  <a:pt x="2" y="1027"/>
                </a:lnTo>
                <a:lnTo>
                  <a:pt x="0" y="532"/>
                </a:lnTo>
                <a:lnTo>
                  <a:pt x="66" y="502"/>
                </a:lnTo>
                <a:lnTo>
                  <a:pt x="105" y="478"/>
                </a:lnTo>
                <a:lnTo>
                  <a:pt x="159" y="436"/>
                </a:lnTo>
                <a:lnTo>
                  <a:pt x="174" y="454"/>
                </a:lnTo>
                <a:lnTo>
                  <a:pt x="303" y="451"/>
                </a:lnTo>
                <a:lnTo>
                  <a:pt x="306" y="316"/>
                </a:lnTo>
                <a:lnTo>
                  <a:pt x="429" y="316"/>
                </a:lnTo>
                <a:lnTo>
                  <a:pt x="453" y="295"/>
                </a:lnTo>
                <a:lnTo>
                  <a:pt x="455" y="0"/>
                </a:lnTo>
                <a:lnTo>
                  <a:pt x="657" y="4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8" name="Freeform 1772">
            <a:extLst>
              <a:ext uri="{FF2B5EF4-FFF2-40B4-BE49-F238E27FC236}">
                <a16:creationId xmlns:a16="http://schemas.microsoft.com/office/drawing/2014/main" id="{00000000-0008-0000-0800-0000F4100300}"/>
              </a:ext>
            </a:extLst>
          </xdr:cNvPr>
          <xdr:cNvSpPr>
            <a:spLocks/>
          </xdr:cNvSpPr>
        </xdr:nvSpPr>
        <xdr:spPr bwMode="auto">
          <a:xfrm>
            <a:off x="2537" y="642"/>
            <a:ext cx="817" cy="708"/>
          </a:xfrm>
          <a:custGeom>
            <a:avLst/>
            <a:gdLst>
              <a:gd name="T0" fmla="*/ 85 w 817"/>
              <a:gd name="T1" fmla="*/ 0 h 708"/>
              <a:gd name="T2" fmla="*/ 817 w 817"/>
              <a:gd name="T3" fmla="*/ 3 h 708"/>
              <a:gd name="T4" fmla="*/ 811 w 817"/>
              <a:gd name="T5" fmla="*/ 708 h 708"/>
              <a:gd name="T6" fmla="*/ 301 w 817"/>
              <a:gd name="T7" fmla="*/ 705 h 708"/>
              <a:gd name="T8" fmla="*/ 301 w 817"/>
              <a:gd name="T9" fmla="*/ 666 h 708"/>
              <a:gd name="T10" fmla="*/ 0 w 817"/>
              <a:gd name="T11" fmla="*/ 669 h 708"/>
              <a:gd name="T12" fmla="*/ 22 w 817"/>
              <a:gd name="T13" fmla="*/ 636 h 708"/>
              <a:gd name="T14" fmla="*/ 22 w 817"/>
              <a:gd name="T15" fmla="*/ 612 h 708"/>
              <a:gd name="T16" fmla="*/ 25 w 817"/>
              <a:gd name="T17" fmla="*/ 522 h 708"/>
              <a:gd name="T18" fmla="*/ 13 w 817"/>
              <a:gd name="T19" fmla="*/ 504 h 708"/>
              <a:gd name="T20" fmla="*/ 19 w 817"/>
              <a:gd name="T21" fmla="*/ 480 h 708"/>
              <a:gd name="T22" fmla="*/ 28 w 817"/>
              <a:gd name="T23" fmla="*/ 441 h 708"/>
              <a:gd name="T24" fmla="*/ 13 w 817"/>
              <a:gd name="T25" fmla="*/ 417 h 708"/>
              <a:gd name="T26" fmla="*/ 13 w 817"/>
              <a:gd name="T27" fmla="*/ 369 h 708"/>
              <a:gd name="T28" fmla="*/ 7 w 817"/>
              <a:gd name="T29" fmla="*/ 279 h 708"/>
              <a:gd name="T30" fmla="*/ 49 w 817"/>
              <a:gd name="T31" fmla="*/ 246 h 708"/>
              <a:gd name="T32" fmla="*/ 79 w 817"/>
              <a:gd name="T33" fmla="*/ 252 h 708"/>
              <a:gd name="T34" fmla="*/ 88 w 817"/>
              <a:gd name="T35" fmla="*/ 225 h 708"/>
              <a:gd name="T36" fmla="*/ 91 w 817"/>
              <a:gd name="T37" fmla="*/ 141 h 708"/>
              <a:gd name="T38" fmla="*/ 91 w 817"/>
              <a:gd name="T39" fmla="*/ 108 h 708"/>
              <a:gd name="T40" fmla="*/ 103 w 817"/>
              <a:gd name="T41" fmla="*/ 75 h 708"/>
              <a:gd name="T42" fmla="*/ 94 w 817"/>
              <a:gd name="T43" fmla="*/ 57 h 708"/>
              <a:gd name="T44" fmla="*/ 82 w 817"/>
              <a:gd name="T45" fmla="*/ 36 h 708"/>
              <a:gd name="T46" fmla="*/ 85 w 817"/>
              <a:gd name="T47" fmla="*/ 0 h 70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817"/>
              <a:gd name="T73" fmla="*/ 0 h 708"/>
              <a:gd name="T74" fmla="*/ 817 w 817"/>
              <a:gd name="T75" fmla="*/ 708 h 70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817" h="708">
                <a:moveTo>
                  <a:pt x="85" y="0"/>
                </a:moveTo>
                <a:lnTo>
                  <a:pt x="817" y="3"/>
                </a:lnTo>
                <a:lnTo>
                  <a:pt x="811" y="708"/>
                </a:lnTo>
                <a:lnTo>
                  <a:pt x="301" y="705"/>
                </a:lnTo>
                <a:lnTo>
                  <a:pt x="301" y="666"/>
                </a:lnTo>
                <a:lnTo>
                  <a:pt x="0" y="669"/>
                </a:lnTo>
                <a:lnTo>
                  <a:pt x="22" y="636"/>
                </a:lnTo>
                <a:lnTo>
                  <a:pt x="22" y="612"/>
                </a:lnTo>
                <a:lnTo>
                  <a:pt x="25" y="522"/>
                </a:lnTo>
                <a:lnTo>
                  <a:pt x="13" y="504"/>
                </a:lnTo>
                <a:lnTo>
                  <a:pt x="19" y="480"/>
                </a:lnTo>
                <a:lnTo>
                  <a:pt x="28" y="441"/>
                </a:lnTo>
                <a:lnTo>
                  <a:pt x="13" y="417"/>
                </a:lnTo>
                <a:lnTo>
                  <a:pt x="13" y="369"/>
                </a:lnTo>
                <a:lnTo>
                  <a:pt x="7" y="279"/>
                </a:lnTo>
                <a:lnTo>
                  <a:pt x="49" y="246"/>
                </a:lnTo>
                <a:lnTo>
                  <a:pt x="79" y="252"/>
                </a:lnTo>
                <a:lnTo>
                  <a:pt x="88" y="225"/>
                </a:lnTo>
                <a:lnTo>
                  <a:pt x="91" y="141"/>
                </a:lnTo>
                <a:lnTo>
                  <a:pt x="91" y="108"/>
                </a:lnTo>
                <a:lnTo>
                  <a:pt x="103" y="75"/>
                </a:lnTo>
                <a:lnTo>
                  <a:pt x="94" y="57"/>
                </a:lnTo>
                <a:lnTo>
                  <a:pt x="82" y="36"/>
                </a:lnTo>
                <a:lnTo>
                  <a:pt x="85" y="0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0949" name="Freeform 1773">
            <a:extLst>
              <a:ext uri="{FF2B5EF4-FFF2-40B4-BE49-F238E27FC236}">
                <a16:creationId xmlns:a16="http://schemas.microsoft.com/office/drawing/2014/main" id="{00000000-0008-0000-0800-0000F5100300}"/>
              </a:ext>
            </a:extLst>
          </xdr:cNvPr>
          <xdr:cNvSpPr>
            <a:spLocks/>
          </xdr:cNvSpPr>
        </xdr:nvSpPr>
        <xdr:spPr bwMode="auto">
          <a:xfrm>
            <a:off x="3159" y="4866"/>
            <a:ext cx="384" cy="69"/>
          </a:xfrm>
          <a:custGeom>
            <a:avLst/>
            <a:gdLst>
              <a:gd name="T0" fmla="*/ 380 w 384"/>
              <a:gd name="T1" fmla="*/ 0 h 69"/>
              <a:gd name="T2" fmla="*/ 93 w 384"/>
              <a:gd name="T3" fmla="*/ 0 h 69"/>
              <a:gd name="T4" fmla="*/ 93 w 384"/>
              <a:gd name="T5" fmla="*/ 32 h 69"/>
              <a:gd name="T6" fmla="*/ 0 w 384"/>
              <a:gd name="T7" fmla="*/ 32 h 69"/>
              <a:gd name="T8" fmla="*/ 0 w 384"/>
              <a:gd name="T9" fmla="*/ 69 h 69"/>
              <a:gd name="T10" fmla="*/ 384 w 384"/>
              <a:gd name="T11" fmla="*/ 69 h 6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384"/>
              <a:gd name="T19" fmla="*/ 0 h 69"/>
              <a:gd name="T20" fmla="*/ 384 w 384"/>
              <a:gd name="T21" fmla="*/ 69 h 6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384" h="69">
                <a:moveTo>
                  <a:pt x="380" y="0"/>
                </a:moveTo>
                <a:lnTo>
                  <a:pt x="93" y="0"/>
                </a:lnTo>
                <a:lnTo>
                  <a:pt x="93" y="32"/>
                </a:lnTo>
                <a:lnTo>
                  <a:pt x="0" y="32"/>
                </a:lnTo>
                <a:lnTo>
                  <a:pt x="0" y="69"/>
                </a:lnTo>
                <a:lnTo>
                  <a:pt x="384" y="6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98" name="Text Box 1774">
            <a:extLst>
              <a:ext uri="{FF2B5EF4-FFF2-40B4-BE49-F238E27FC236}">
                <a16:creationId xmlns:a16="http://schemas.microsoft.com/office/drawing/2014/main" id="{00000000-0008-0000-0800-0000EE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1" y="671"/>
            <a:ext cx="283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Chama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399" name="Text Box 1775">
            <a:extLst>
              <a:ext uri="{FF2B5EF4-FFF2-40B4-BE49-F238E27FC236}">
                <a16:creationId xmlns:a16="http://schemas.microsoft.com/office/drawing/2014/main" id="{00000000-0008-0000-0800-0000EF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58" y="902"/>
            <a:ext cx="194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0" name="Text Box 1776">
            <a:extLst>
              <a:ext uri="{FF2B5EF4-FFF2-40B4-BE49-F238E27FC236}">
                <a16:creationId xmlns:a16="http://schemas.microsoft.com/office/drawing/2014/main" id="{00000000-0008-0000-0800-0000F0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18" y="641"/>
            <a:ext cx="194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9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1" name="Text Box 1777">
            <a:extLst>
              <a:ext uri="{FF2B5EF4-FFF2-40B4-BE49-F238E27FC236}">
                <a16:creationId xmlns:a16="http://schemas.microsoft.com/office/drawing/2014/main" id="{00000000-0008-0000-0800-0000F1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8" y="932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3-A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2" name="Text Box 1778">
            <a:extLst>
              <a:ext uri="{FF2B5EF4-FFF2-40B4-BE49-F238E27FC236}">
                <a16:creationId xmlns:a16="http://schemas.microsoft.com/office/drawing/2014/main" id="{00000000-0008-0000-0800-0000F2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4" y="1193"/>
            <a:ext cx="230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1-A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3" name="Text Box 1779">
            <a:extLst>
              <a:ext uri="{FF2B5EF4-FFF2-40B4-BE49-F238E27FC236}">
                <a16:creationId xmlns:a16="http://schemas.microsoft.com/office/drawing/2014/main" id="{00000000-0008-0000-0800-0000F3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3" y="1365"/>
            <a:ext cx="236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4" name="Text Box 1780">
            <a:extLst>
              <a:ext uri="{FF2B5EF4-FFF2-40B4-BE49-F238E27FC236}">
                <a16:creationId xmlns:a16="http://schemas.microsoft.com/office/drawing/2014/main" id="{00000000-0008-0000-0800-0000F4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1" y="1146"/>
            <a:ext cx="236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5" name="Text Box 1781">
            <a:extLst>
              <a:ext uri="{FF2B5EF4-FFF2-40B4-BE49-F238E27FC236}">
                <a16:creationId xmlns:a16="http://schemas.microsoft.com/office/drawing/2014/main" id="{00000000-0008-0000-0800-0000F5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" y="944"/>
            <a:ext cx="112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Taos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6" name="Text Box 1782">
            <a:extLst>
              <a:ext uri="{FF2B5EF4-FFF2-40B4-BE49-F238E27FC236}">
                <a16:creationId xmlns:a16="http://schemas.microsoft.com/office/drawing/2014/main" id="{00000000-0008-0000-0800-0000F6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" y="991"/>
            <a:ext cx="259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Ski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07" name="Text Box 1783">
            <a:extLst>
              <a:ext uri="{FF2B5EF4-FFF2-40B4-BE49-F238E27FC236}">
                <a16:creationId xmlns:a16="http://schemas.microsoft.com/office/drawing/2014/main" id="{00000000-0008-0000-0800-0000F7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1" y="1057"/>
            <a:ext cx="259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Valley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0960" name="Line 1784">
            <a:extLst>
              <a:ext uri="{FF2B5EF4-FFF2-40B4-BE49-F238E27FC236}">
                <a16:creationId xmlns:a16="http://schemas.microsoft.com/office/drawing/2014/main" id="{00000000-0008-0000-0800-0000001103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454" y="1008"/>
            <a:ext cx="103" cy="8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409" name="Text Box 1785">
            <a:extLst>
              <a:ext uri="{FF2B5EF4-FFF2-40B4-BE49-F238E27FC236}">
                <a16:creationId xmlns:a16="http://schemas.microsoft.com/office/drawing/2014/main" id="{00000000-0008-0000-0800-0000F9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4" y="926"/>
            <a:ext cx="171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Questa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0" name="Text Box 1786">
            <a:extLst>
              <a:ext uri="{FF2B5EF4-FFF2-40B4-BE49-F238E27FC236}">
                <a16:creationId xmlns:a16="http://schemas.microsoft.com/office/drawing/2014/main" id="{00000000-0008-0000-0800-0000FA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3" y="873"/>
            <a:ext cx="277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Red River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1" name="Text Box 1787">
            <a:extLst>
              <a:ext uri="{FF2B5EF4-FFF2-40B4-BE49-F238E27FC236}">
                <a16:creationId xmlns:a16="http://schemas.microsoft.com/office/drawing/2014/main" id="{00000000-0008-0000-0800-0000FB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1" y="1146"/>
            <a:ext cx="259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 Cimarron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2" name="Text Box 1788">
            <a:extLst>
              <a:ext uri="{FF2B5EF4-FFF2-40B4-BE49-F238E27FC236}">
                <a16:creationId xmlns:a16="http://schemas.microsoft.com/office/drawing/2014/main" id="{00000000-0008-0000-0800-0000FC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1" y="1223"/>
            <a:ext cx="259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Eagle Nest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3" name="Text Box 1789">
            <a:extLst>
              <a:ext uri="{FF2B5EF4-FFF2-40B4-BE49-F238E27FC236}">
                <a16:creationId xmlns:a16="http://schemas.microsoft.com/office/drawing/2014/main" id="{00000000-0008-0000-0800-0000FD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24" y="1258"/>
            <a:ext cx="135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3-B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4" name="Text Box 1790">
            <a:extLst>
              <a:ext uri="{FF2B5EF4-FFF2-40B4-BE49-F238E27FC236}">
                <a16:creationId xmlns:a16="http://schemas.microsoft.com/office/drawing/2014/main" id="{00000000-0008-0000-0800-0000FE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5" y="689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3-B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5" name="Text Box 1791">
            <a:extLst>
              <a:ext uri="{FF2B5EF4-FFF2-40B4-BE49-F238E27FC236}">
                <a16:creationId xmlns:a16="http://schemas.microsoft.com/office/drawing/2014/main" id="{00000000-0008-0000-0800-0000FF6E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1" y="724"/>
            <a:ext cx="118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Raton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6" name="Text Box 1792">
            <a:extLst>
              <a:ext uri="{FF2B5EF4-FFF2-40B4-BE49-F238E27FC236}">
                <a16:creationId xmlns:a16="http://schemas.microsoft.com/office/drawing/2014/main" id="{00000000-0008-0000-0800-00000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6" y="962"/>
            <a:ext cx="212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Maxwell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7" name="Text Box 1793">
            <a:extLst>
              <a:ext uri="{FF2B5EF4-FFF2-40B4-BE49-F238E27FC236}">
                <a16:creationId xmlns:a16="http://schemas.microsoft.com/office/drawing/2014/main" id="{00000000-0008-0000-0800-00000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6" y="1199"/>
            <a:ext cx="212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Springer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8" name="Text Box 1794">
            <a:extLst>
              <a:ext uri="{FF2B5EF4-FFF2-40B4-BE49-F238E27FC236}">
                <a16:creationId xmlns:a16="http://schemas.microsoft.com/office/drawing/2014/main" id="{00000000-0008-0000-0800-00000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6" y="760"/>
            <a:ext cx="7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19" name="Text Box 1795">
            <a:extLst>
              <a:ext uri="{FF2B5EF4-FFF2-40B4-BE49-F238E27FC236}">
                <a16:creationId xmlns:a16="http://schemas.microsoft.com/office/drawing/2014/main" id="{00000000-0008-0000-0800-00000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65" y="1009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0" name="Text Box 1796">
            <a:extLst>
              <a:ext uri="{FF2B5EF4-FFF2-40B4-BE49-F238E27FC236}">
                <a16:creationId xmlns:a16="http://schemas.microsoft.com/office/drawing/2014/main" id="{00000000-0008-0000-0800-00000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9" y="1258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1" name="Text Box 1797">
            <a:extLst>
              <a:ext uri="{FF2B5EF4-FFF2-40B4-BE49-F238E27FC236}">
                <a16:creationId xmlns:a16="http://schemas.microsoft.com/office/drawing/2014/main" id="{00000000-0008-0000-0800-00000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83" y="855"/>
            <a:ext cx="7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2" name="Text Box 1798">
            <a:extLst>
              <a:ext uri="{FF2B5EF4-FFF2-40B4-BE49-F238E27FC236}">
                <a16:creationId xmlns:a16="http://schemas.microsoft.com/office/drawing/2014/main" id="{00000000-0008-0000-0800-00000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9" y="724"/>
            <a:ext cx="183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Folsom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3" name="Text Box 1799">
            <a:extLst>
              <a:ext uri="{FF2B5EF4-FFF2-40B4-BE49-F238E27FC236}">
                <a16:creationId xmlns:a16="http://schemas.microsoft.com/office/drawing/2014/main" id="{00000000-0008-0000-0800-00000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54" y="807"/>
            <a:ext cx="289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Des Moines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4" name="Text Box 1800">
            <a:extLst>
              <a:ext uri="{FF2B5EF4-FFF2-40B4-BE49-F238E27FC236}">
                <a16:creationId xmlns:a16="http://schemas.microsoft.com/office/drawing/2014/main" id="{00000000-0008-0000-0800-00000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6" y="979"/>
            <a:ext cx="188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Grenville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5" name="Text Box 1801">
            <a:extLst>
              <a:ext uri="{FF2B5EF4-FFF2-40B4-BE49-F238E27FC236}">
                <a16:creationId xmlns:a16="http://schemas.microsoft.com/office/drawing/2014/main" id="{00000000-0008-0000-0800-00000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30" y="1021"/>
            <a:ext cx="77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6" name="Text Box 1802">
            <a:extLst>
              <a:ext uri="{FF2B5EF4-FFF2-40B4-BE49-F238E27FC236}">
                <a16:creationId xmlns:a16="http://schemas.microsoft.com/office/drawing/2014/main" id="{00000000-0008-0000-0800-00000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4" y="1246"/>
            <a:ext cx="7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49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7" name="Text Box 1803">
            <a:extLst>
              <a:ext uri="{FF2B5EF4-FFF2-40B4-BE49-F238E27FC236}">
                <a16:creationId xmlns:a16="http://schemas.microsoft.com/office/drawing/2014/main" id="{00000000-0008-0000-0800-00000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54" y="1051"/>
            <a:ext cx="7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8" name="Text Box 1804">
            <a:extLst>
              <a:ext uri="{FF2B5EF4-FFF2-40B4-BE49-F238E27FC236}">
                <a16:creationId xmlns:a16="http://schemas.microsoft.com/office/drawing/2014/main" id="{00000000-0008-0000-0800-00000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30" y="1146"/>
            <a:ext cx="188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Clayton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29" name="Text Box 1805">
            <a:extLst>
              <a:ext uri="{FF2B5EF4-FFF2-40B4-BE49-F238E27FC236}">
                <a16:creationId xmlns:a16="http://schemas.microsoft.com/office/drawing/2014/main" id="{00000000-0008-0000-0800-00000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8" y="1834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0" name="Text Box 1806">
            <a:extLst>
              <a:ext uri="{FF2B5EF4-FFF2-40B4-BE49-F238E27FC236}">
                <a16:creationId xmlns:a16="http://schemas.microsoft.com/office/drawing/2014/main" id="{00000000-0008-0000-0800-00000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9" y="1976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1" name="Text Box 1807">
            <a:extLst>
              <a:ext uri="{FF2B5EF4-FFF2-40B4-BE49-F238E27FC236}">
                <a16:creationId xmlns:a16="http://schemas.microsoft.com/office/drawing/2014/main" id="{00000000-0008-0000-0800-00000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01" y="2160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2" name="Text Box 1808">
            <a:extLst>
              <a:ext uri="{FF2B5EF4-FFF2-40B4-BE49-F238E27FC236}">
                <a16:creationId xmlns:a16="http://schemas.microsoft.com/office/drawing/2014/main" id="{00000000-0008-0000-0800-00001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78" y="1976"/>
            <a:ext cx="82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24-</a:t>
            </a: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3" name="Text Box 1809">
            <a:extLst>
              <a:ext uri="{FF2B5EF4-FFF2-40B4-BE49-F238E27FC236}">
                <a16:creationId xmlns:a16="http://schemas.microsoft.com/office/drawing/2014/main" id="{00000000-0008-0000-0800-00001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18" y="2006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4" name="Text Box 1810">
            <a:extLst>
              <a:ext uri="{FF2B5EF4-FFF2-40B4-BE49-F238E27FC236}">
                <a16:creationId xmlns:a16="http://schemas.microsoft.com/office/drawing/2014/main" id="{00000000-0008-0000-0800-00001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71" y="1863"/>
            <a:ext cx="82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5" name="Text Box 1811">
            <a:extLst>
              <a:ext uri="{FF2B5EF4-FFF2-40B4-BE49-F238E27FC236}">
                <a16:creationId xmlns:a16="http://schemas.microsoft.com/office/drawing/2014/main" id="{00000000-0008-0000-0800-00001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53" y="2024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6" name="Text Box 1812">
            <a:extLst>
              <a:ext uri="{FF2B5EF4-FFF2-40B4-BE49-F238E27FC236}">
                <a16:creationId xmlns:a16="http://schemas.microsoft.com/office/drawing/2014/main" id="{00000000-0008-0000-0800-00001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1" y="1798"/>
            <a:ext cx="88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7" name="Text Box 1813">
            <a:extLst>
              <a:ext uri="{FF2B5EF4-FFF2-40B4-BE49-F238E27FC236}">
                <a16:creationId xmlns:a16="http://schemas.microsoft.com/office/drawing/2014/main" id="{00000000-0008-0000-0800-00001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29" y="1626"/>
            <a:ext cx="17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8" name="Text Box 1814">
            <a:extLst>
              <a:ext uri="{FF2B5EF4-FFF2-40B4-BE49-F238E27FC236}">
                <a16:creationId xmlns:a16="http://schemas.microsoft.com/office/drawing/2014/main" id="{00000000-0008-0000-0800-00001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59" y="1573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39" name="Text Box 1815">
            <a:extLst>
              <a:ext uri="{FF2B5EF4-FFF2-40B4-BE49-F238E27FC236}">
                <a16:creationId xmlns:a16="http://schemas.microsoft.com/office/drawing/2014/main" id="{00000000-0008-0000-0800-00001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" y="2350"/>
            <a:ext cx="159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0" name="Text Box 1816">
            <a:extLst>
              <a:ext uri="{FF2B5EF4-FFF2-40B4-BE49-F238E27FC236}">
                <a16:creationId xmlns:a16="http://schemas.microsoft.com/office/drawing/2014/main" id="{00000000-0008-0000-0800-00001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47" y="1537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1" name="Text Box 1817">
            <a:extLst>
              <a:ext uri="{FF2B5EF4-FFF2-40B4-BE49-F238E27FC236}">
                <a16:creationId xmlns:a16="http://schemas.microsoft.com/office/drawing/2014/main" id="{00000000-0008-0000-0800-00001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5" y="1982"/>
            <a:ext cx="65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2" name="Text Box 1818">
            <a:extLst>
              <a:ext uri="{FF2B5EF4-FFF2-40B4-BE49-F238E27FC236}">
                <a16:creationId xmlns:a16="http://schemas.microsoft.com/office/drawing/2014/main" id="{00000000-0008-0000-0800-00001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7" y="2172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50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3" name="Text Box 1819">
            <a:extLst>
              <a:ext uri="{FF2B5EF4-FFF2-40B4-BE49-F238E27FC236}">
                <a16:creationId xmlns:a16="http://schemas.microsoft.com/office/drawing/2014/main" id="{00000000-0008-0000-0800-00001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24" y="2546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4" name="Text Box 1820">
            <a:extLst>
              <a:ext uri="{FF2B5EF4-FFF2-40B4-BE49-F238E27FC236}">
                <a16:creationId xmlns:a16="http://schemas.microsoft.com/office/drawing/2014/main" id="{00000000-0008-0000-0800-00001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4" y="2492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5" name="Text Box 1821">
            <a:extLst>
              <a:ext uri="{FF2B5EF4-FFF2-40B4-BE49-F238E27FC236}">
                <a16:creationId xmlns:a16="http://schemas.microsoft.com/office/drawing/2014/main" id="{00000000-0008-0000-0800-00001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" y="2285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8-T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6" name="Text Box 1822">
            <a:extLst>
              <a:ext uri="{FF2B5EF4-FFF2-40B4-BE49-F238E27FC236}">
                <a16:creationId xmlns:a16="http://schemas.microsoft.com/office/drawing/2014/main" id="{00000000-0008-0000-0800-00001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5" y="2830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7" name="Text Box 1823">
            <a:extLst>
              <a:ext uri="{FF2B5EF4-FFF2-40B4-BE49-F238E27FC236}">
                <a16:creationId xmlns:a16="http://schemas.microsoft.com/office/drawing/2014/main" id="{00000000-0008-0000-0800-00001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00" y="2670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8" name="Text Box 1824">
            <a:extLst>
              <a:ext uri="{FF2B5EF4-FFF2-40B4-BE49-F238E27FC236}">
                <a16:creationId xmlns:a16="http://schemas.microsoft.com/office/drawing/2014/main" id="{00000000-0008-0000-0800-00002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1" y="2801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49" name="Text Box 1825">
            <a:extLst>
              <a:ext uri="{FF2B5EF4-FFF2-40B4-BE49-F238E27FC236}">
                <a16:creationId xmlns:a16="http://schemas.microsoft.com/office/drawing/2014/main" id="{00000000-0008-0000-0800-00002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65" y="3056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0" name="Text Box 1826">
            <a:extLst>
              <a:ext uri="{FF2B5EF4-FFF2-40B4-BE49-F238E27FC236}">
                <a16:creationId xmlns:a16="http://schemas.microsoft.com/office/drawing/2014/main" id="{00000000-0008-0000-0800-00002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13" y="2652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19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1" name="Text Box 1827">
            <a:extLst>
              <a:ext uri="{FF2B5EF4-FFF2-40B4-BE49-F238E27FC236}">
                <a16:creationId xmlns:a16="http://schemas.microsoft.com/office/drawing/2014/main" id="{00000000-0008-0000-0800-00002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6" y="2593"/>
            <a:ext cx="106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2" name="Text Box 1828">
            <a:extLst>
              <a:ext uri="{FF2B5EF4-FFF2-40B4-BE49-F238E27FC236}">
                <a16:creationId xmlns:a16="http://schemas.microsoft.com/office/drawing/2014/main" id="{00000000-0008-0000-0800-00002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2" y="2694"/>
            <a:ext cx="7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3" name="Text Box 1829">
            <a:extLst>
              <a:ext uri="{FF2B5EF4-FFF2-40B4-BE49-F238E27FC236}">
                <a16:creationId xmlns:a16="http://schemas.microsoft.com/office/drawing/2014/main" id="{00000000-0008-0000-0800-00002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84" y="2658"/>
            <a:ext cx="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4" name="Text Box 1830">
            <a:extLst>
              <a:ext uri="{FF2B5EF4-FFF2-40B4-BE49-F238E27FC236}">
                <a16:creationId xmlns:a16="http://schemas.microsoft.com/office/drawing/2014/main" id="{00000000-0008-0000-0800-00002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07" y="2813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9-A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5" name="Text Box 1831">
            <a:extLst>
              <a:ext uri="{FF2B5EF4-FFF2-40B4-BE49-F238E27FC236}">
                <a16:creationId xmlns:a16="http://schemas.microsoft.com/office/drawing/2014/main" id="{00000000-0008-0000-0800-00002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07" y="2908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9/53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6" name="Text Box 1832">
            <a:extLst>
              <a:ext uri="{FF2B5EF4-FFF2-40B4-BE49-F238E27FC236}">
                <a16:creationId xmlns:a16="http://schemas.microsoft.com/office/drawing/2014/main" id="{00000000-0008-0000-0800-00002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42" y="3003"/>
            <a:ext cx="106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7" name="Text Box 1833">
            <a:extLst>
              <a:ext uri="{FF2B5EF4-FFF2-40B4-BE49-F238E27FC236}">
                <a16:creationId xmlns:a16="http://schemas.microsoft.com/office/drawing/2014/main" id="{00000000-0008-0000-0800-00002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48" y="3103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8" name="Text Box 1834">
            <a:extLst>
              <a:ext uri="{FF2B5EF4-FFF2-40B4-BE49-F238E27FC236}">
                <a16:creationId xmlns:a16="http://schemas.microsoft.com/office/drawing/2014/main" id="{00000000-0008-0000-0800-00002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4" y="3003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20-35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59" name="Text Box 1835">
            <a:extLst>
              <a:ext uri="{FF2B5EF4-FFF2-40B4-BE49-F238E27FC236}">
                <a16:creationId xmlns:a16="http://schemas.microsoft.com/office/drawing/2014/main" id="{00000000-0008-0000-0800-00002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94" y="3121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60" name="Text Box 1836">
            <a:extLst>
              <a:ext uri="{FF2B5EF4-FFF2-40B4-BE49-F238E27FC236}">
                <a16:creationId xmlns:a16="http://schemas.microsoft.com/office/drawing/2014/main" id="{00000000-0008-0000-0800-00002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6" y="3003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13" name="Freeform 1837">
            <a:extLst>
              <a:ext uri="{FF2B5EF4-FFF2-40B4-BE49-F238E27FC236}">
                <a16:creationId xmlns:a16="http://schemas.microsoft.com/office/drawing/2014/main" id="{00000000-0008-0000-0800-000035110300}"/>
              </a:ext>
            </a:extLst>
          </xdr:cNvPr>
          <xdr:cNvSpPr>
            <a:spLocks/>
          </xdr:cNvSpPr>
        </xdr:nvSpPr>
        <xdr:spPr bwMode="auto">
          <a:xfrm>
            <a:off x="1301" y="4202"/>
            <a:ext cx="606" cy="430"/>
          </a:xfrm>
          <a:custGeom>
            <a:avLst/>
            <a:gdLst>
              <a:gd name="T0" fmla="*/ 606 w 606"/>
              <a:gd name="T1" fmla="*/ 0 h 430"/>
              <a:gd name="T2" fmla="*/ 606 w 606"/>
              <a:gd name="T3" fmla="*/ 81 h 430"/>
              <a:gd name="T4" fmla="*/ 588 w 606"/>
              <a:gd name="T5" fmla="*/ 81 h 430"/>
              <a:gd name="T6" fmla="*/ 583 w 606"/>
              <a:gd name="T7" fmla="*/ 430 h 430"/>
              <a:gd name="T8" fmla="*/ 0 w 606"/>
              <a:gd name="T9" fmla="*/ 430 h 430"/>
              <a:gd name="T10" fmla="*/ 10 w 606"/>
              <a:gd name="T11" fmla="*/ 223 h 430"/>
              <a:gd name="T12" fmla="*/ 235 w 606"/>
              <a:gd name="T13" fmla="*/ 228 h 430"/>
              <a:gd name="T14" fmla="*/ 237 w 606"/>
              <a:gd name="T15" fmla="*/ 229 h 430"/>
              <a:gd name="T16" fmla="*/ 265 w 606"/>
              <a:gd name="T17" fmla="*/ 228 h 430"/>
              <a:gd name="T18" fmla="*/ 267 w 606"/>
              <a:gd name="T19" fmla="*/ 192 h 430"/>
              <a:gd name="T20" fmla="*/ 606 w 606"/>
              <a:gd name="T21" fmla="*/ 0 h 430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606"/>
              <a:gd name="T34" fmla="*/ 0 h 430"/>
              <a:gd name="T35" fmla="*/ 606 w 606"/>
              <a:gd name="T36" fmla="*/ 430 h 430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606" h="430">
                <a:moveTo>
                  <a:pt x="606" y="0"/>
                </a:moveTo>
                <a:lnTo>
                  <a:pt x="606" y="81"/>
                </a:lnTo>
                <a:lnTo>
                  <a:pt x="588" y="81"/>
                </a:lnTo>
                <a:lnTo>
                  <a:pt x="583" y="430"/>
                </a:lnTo>
                <a:lnTo>
                  <a:pt x="0" y="430"/>
                </a:lnTo>
                <a:lnTo>
                  <a:pt x="10" y="223"/>
                </a:lnTo>
                <a:lnTo>
                  <a:pt x="235" y="228"/>
                </a:lnTo>
                <a:lnTo>
                  <a:pt x="237" y="229"/>
                </a:lnTo>
                <a:lnTo>
                  <a:pt x="265" y="228"/>
                </a:lnTo>
                <a:lnTo>
                  <a:pt x="267" y="192"/>
                </a:lnTo>
                <a:lnTo>
                  <a:pt x="606" y="0"/>
                </a:lnTo>
                <a:close/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14" name="Freeform 1838">
            <a:extLst>
              <a:ext uri="{FF2B5EF4-FFF2-40B4-BE49-F238E27FC236}">
                <a16:creationId xmlns:a16="http://schemas.microsoft.com/office/drawing/2014/main" id="{00000000-0008-0000-0800-000036110300}"/>
              </a:ext>
            </a:extLst>
          </xdr:cNvPr>
          <xdr:cNvSpPr>
            <a:spLocks/>
          </xdr:cNvSpPr>
        </xdr:nvSpPr>
        <xdr:spPr bwMode="auto">
          <a:xfrm>
            <a:off x="1293" y="4980"/>
            <a:ext cx="587" cy="1"/>
          </a:xfrm>
          <a:custGeom>
            <a:avLst/>
            <a:gdLst>
              <a:gd name="T0" fmla="*/ 0 w 587"/>
              <a:gd name="T1" fmla="*/ 0 h 1"/>
              <a:gd name="T2" fmla="*/ 587 w 587"/>
              <a:gd name="T3" fmla="*/ 0 h 1"/>
              <a:gd name="T4" fmla="*/ 0 60000 65536"/>
              <a:gd name="T5" fmla="*/ 0 60000 65536"/>
              <a:gd name="T6" fmla="*/ 0 w 587"/>
              <a:gd name="T7" fmla="*/ 0 h 1"/>
              <a:gd name="T8" fmla="*/ 587 w 587"/>
              <a:gd name="T9" fmla="*/ 1 h 1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587" h="1">
                <a:moveTo>
                  <a:pt x="0" y="0"/>
                </a:moveTo>
                <a:lnTo>
                  <a:pt x="587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15" name="Freeform 1839">
            <a:extLst>
              <a:ext uri="{FF2B5EF4-FFF2-40B4-BE49-F238E27FC236}">
                <a16:creationId xmlns:a16="http://schemas.microsoft.com/office/drawing/2014/main" id="{00000000-0008-0000-0800-000037110300}"/>
              </a:ext>
            </a:extLst>
          </xdr:cNvPr>
          <xdr:cNvSpPr>
            <a:spLocks/>
          </xdr:cNvSpPr>
        </xdr:nvSpPr>
        <xdr:spPr bwMode="auto">
          <a:xfrm>
            <a:off x="1881" y="4965"/>
            <a:ext cx="105" cy="183"/>
          </a:xfrm>
          <a:custGeom>
            <a:avLst/>
            <a:gdLst>
              <a:gd name="T0" fmla="*/ 0 w 105"/>
              <a:gd name="T1" fmla="*/ 0 h 183"/>
              <a:gd name="T2" fmla="*/ 105 w 105"/>
              <a:gd name="T3" fmla="*/ 0 h 183"/>
              <a:gd name="T4" fmla="*/ 57 w 105"/>
              <a:gd name="T5" fmla="*/ 183 h 183"/>
              <a:gd name="T6" fmla="*/ 0 60000 65536"/>
              <a:gd name="T7" fmla="*/ 0 60000 65536"/>
              <a:gd name="T8" fmla="*/ 0 60000 65536"/>
              <a:gd name="T9" fmla="*/ 0 w 105"/>
              <a:gd name="T10" fmla="*/ 0 h 183"/>
              <a:gd name="T11" fmla="*/ 105 w 105"/>
              <a:gd name="T12" fmla="*/ 183 h 18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05" h="183">
                <a:moveTo>
                  <a:pt x="0" y="0"/>
                </a:moveTo>
                <a:lnTo>
                  <a:pt x="105" y="0"/>
                </a:lnTo>
                <a:lnTo>
                  <a:pt x="57" y="183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16" name="Freeform 1840">
            <a:extLst>
              <a:ext uri="{FF2B5EF4-FFF2-40B4-BE49-F238E27FC236}">
                <a16:creationId xmlns:a16="http://schemas.microsoft.com/office/drawing/2014/main" id="{00000000-0008-0000-0800-000038110300}"/>
              </a:ext>
            </a:extLst>
          </xdr:cNvPr>
          <xdr:cNvSpPr>
            <a:spLocks/>
          </xdr:cNvSpPr>
        </xdr:nvSpPr>
        <xdr:spPr bwMode="auto">
          <a:xfrm>
            <a:off x="747" y="4011"/>
            <a:ext cx="2" cy="629"/>
          </a:xfrm>
          <a:custGeom>
            <a:avLst/>
            <a:gdLst>
              <a:gd name="T0" fmla="*/ 2 w 2"/>
              <a:gd name="T1" fmla="*/ 0 h 629"/>
              <a:gd name="T2" fmla="*/ 0 w 2"/>
              <a:gd name="T3" fmla="*/ 629 h 629"/>
              <a:gd name="T4" fmla="*/ 0 60000 65536"/>
              <a:gd name="T5" fmla="*/ 0 60000 65536"/>
              <a:gd name="T6" fmla="*/ 0 w 2"/>
              <a:gd name="T7" fmla="*/ 0 h 629"/>
              <a:gd name="T8" fmla="*/ 2 w 2"/>
              <a:gd name="T9" fmla="*/ 629 h 629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2" h="629">
                <a:moveTo>
                  <a:pt x="2" y="0"/>
                </a:moveTo>
                <a:lnTo>
                  <a:pt x="0" y="62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17" name="Freeform 1841">
            <a:extLst>
              <a:ext uri="{FF2B5EF4-FFF2-40B4-BE49-F238E27FC236}">
                <a16:creationId xmlns:a16="http://schemas.microsoft.com/office/drawing/2014/main" id="{00000000-0008-0000-0800-000039110300}"/>
              </a:ext>
            </a:extLst>
          </xdr:cNvPr>
          <xdr:cNvSpPr>
            <a:spLocks/>
          </xdr:cNvSpPr>
        </xdr:nvSpPr>
        <xdr:spPr bwMode="auto">
          <a:xfrm>
            <a:off x="633" y="585"/>
            <a:ext cx="327" cy="917"/>
          </a:xfrm>
          <a:custGeom>
            <a:avLst/>
            <a:gdLst>
              <a:gd name="T0" fmla="*/ 8 w 327"/>
              <a:gd name="T1" fmla="*/ 0 h 917"/>
              <a:gd name="T2" fmla="*/ 80 w 327"/>
              <a:gd name="T3" fmla="*/ 3 h 917"/>
              <a:gd name="T4" fmla="*/ 327 w 327"/>
              <a:gd name="T5" fmla="*/ 12 h 917"/>
              <a:gd name="T6" fmla="*/ 324 w 327"/>
              <a:gd name="T7" fmla="*/ 89 h 917"/>
              <a:gd name="T8" fmla="*/ 324 w 327"/>
              <a:gd name="T9" fmla="*/ 109 h 917"/>
              <a:gd name="T10" fmla="*/ 324 w 327"/>
              <a:gd name="T11" fmla="*/ 158 h 917"/>
              <a:gd name="T12" fmla="*/ 283 w 327"/>
              <a:gd name="T13" fmla="*/ 156 h 917"/>
              <a:gd name="T14" fmla="*/ 280 w 327"/>
              <a:gd name="T15" fmla="*/ 215 h 917"/>
              <a:gd name="T16" fmla="*/ 321 w 327"/>
              <a:gd name="T17" fmla="*/ 215 h 917"/>
              <a:gd name="T18" fmla="*/ 321 w 327"/>
              <a:gd name="T19" fmla="*/ 271 h 917"/>
              <a:gd name="T20" fmla="*/ 287 w 327"/>
              <a:gd name="T21" fmla="*/ 280 h 917"/>
              <a:gd name="T22" fmla="*/ 262 w 327"/>
              <a:gd name="T23" fmla="*/ 271 h 917"/>
              <a:gd name="T24" fmla="*/ 258 w 327"/>
              <a:gd name="T25" fmla="*/ 322 h 917"/>
              <a:gd name="T26" fmla="*/ 249 w 327"/>
              <a:gd name="T27" fmla="*/ 342 h 917"/>
              <a:gd name="T28" fmla="*/ 249 w 327"/>
              <a:gd name="T29" fmla="*/ 360 h 917"/>
              <a:gd name="T30" fmla="*/ 231 w 327"/>
              <a:gd name="T31" fmla="*/ 917 h 917"/>
              <a:gd name="T32" fmla="*/ 143 w 327"/>
              <a:gd name="T33" fmla="*/ 914 h 917"/>
              <a:gd name="T34" fmla="*/ 153 w 327"/>
              <a:gd name="T35" fmla="*/ 369 h 917"/>
              <a:gd name="T36" fmla="*/ 171 w 327"/>
              <a:gd name="T37" fmla="*/ 363 h 917"/>
              <a:gd name="T38" fmla="*/ 174 w 327"/>
              <a:gd name="T39" fmla="*/ 313 h 917"/>
              <a:gd name="T40" fmla="*/ 149 w 327"/>
              <a:gd name="T41" fmla="*/ 307 h 917"/>
              <a:gd name="T42" fmla="*/ 156 w 327"/>
              <a:gd name="T43" fmla="*/ 242 h 917"/>
              <a:gd name="T44" fmla="*/ 174 w 327"/>
              <a:gd name="T45" fmla="*/ 245 h 917"/>
              <a:gd name="T46" fmla="*/ 174 w 327"/>
              <a:gd name="T47" fmla="*/ 210 h 917"/>
              <a:gd name="T48" fmla="*/ 0 w 327"/>
              <a:gd name="T49" fmla="*/ 201 h 917"/>
              <a:gd name="T50" fmla="*/ 8 w 327"/>
              <a:gd name="T51" fmla="*/ 0 h 917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327"/>
              <a:gd name="T79" fmla="*/ 0 h 917"/>
              <a:gd name="T80" fmla="*/ 327 w 327"/>
              <a:gd name="T81" fmla="*/ 917 h 917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327" h="917">
                <a:moveTo>
                  <a:pt x="8" y="0"/>
                </a:moveTo>
                <a:cubicBezTo>
                  <a:pt x="31" y="2"/>
                  <a:pt x="26" y="0"/>
                  <a:pt x="80" y="3"/>
                </a:cubicBezTo>
                <a:lnTo>
                  <a:pt x="327" y="12"/>
                </a:lnTo>
                <a:lnTo>
                  <a:pt x="324" y="89"/>
                </a:lnTo>
                <a:lnTo>
                  <a:pt x="324" y="109"/>
                </a:lnTo>
                <a:lnTo>
                  <a:pt x="324" y="158"/>
                </a:lnTo>
                <a:lnTo>
                  <a:pt x="283" y="156"/>
                </a:lnTo>
                <a:lnTo>
                  <a:pt x="280" y="215"/>
                </a:lnTo>
                <a:lnTo>
                  <a:pt x="321" y="215"/>
                </a:lnTo>
                <a:lnTo>
                  <a:pt x="321" y="271"/>
                </a:lnTo>
                <a:lnTo>
                  <a:pt x="287" y="280"/>
                </a:lnTo>
                <a:lnTo>
                  <a:pt x="262" y="271"/>
                </a:lnTo>
                <a:lnTo>
                  <a:pt x="258" y="322"/>
                </a:lnTo>
                <a:lnTo>
                  <a:pt x="249" y="342"/>
                </a:lnTo>
                <a:lnTo>
                  <a:pt x="249" y="360"/>
                </a:lnTo>
                <a:lnTo>
                  <a:pt x="231" y="917"/>
                </a:lnTo>
                <a:lnTo>
                  <a:pt x="143" y="914"/>
                </a:lnTo>
                <a:lnTo>
                  <a:pt x="153" y="369"/>
                </a:lnTo>
                <a:lnTo>
                  <a:pt x="171" y="363"/>
                </a:lnTo>
                <a:lnTo>
                  <a:pt x="174" y="313"/>
                </a:lnTo>
                <a:cubicBezTo>
                  <a:pt x="148" y="310"/>
                  <a:pt x="149" y="318"/>
                  <a:pt x="149" y="307"/>
                </a:cubicBezTo>
                <a:lnTo>
                  <a:pt x="156" y="242"/>
                </a:lnTo>
                <a:lnTo>
                  <a:pt x="174" y="245"/>
                </a:lnTo>
                <a:lnTo>
                  <a:pt x="174" y="210"/>
                </a:lnTo>
                <a:lnTo>
                  <a:pt x="0" y="201"/>
                </a:lnTo>
                <a:lnTo>
                  <a:pt x="8" y="0"/>
                </a:lnTo>
                <a:close/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18" name="Freeform 1842">
            <a:extLst>
              <a:ext uri="{FF2B5EF4-FFF2-40B4-BE49-F238E27FC236}">
                <a16:creationId xmlns:a16="http://schemas.microsoft.com/office/drawing/2014/main" id="{00000000-0008-0000-0800-00003A110300}"/>
              </a:ext>
            </a:extLst>
          </xdr:cNvPr>
          <xdr:cNvSpPr>
            <a:spLocks/>
          </xdr:cNvSpPr>
        </xdr:nvSpPr>
        <xdr:spPr bwMode="auto">
          <a:xfrm>
            <a:off x="953" y="743"/>
            <a:ext cx="285" cy="57"/>
          </a:xfrm>
          <a:custGeom>
            <a:avLst/>
            <a:gdLst>
              <a:gd name="T0" fmla="*/ 0 w 285"/>
              <a:gd name="T1" fmla="*/ 57 h 57"/>
              <a:gd name="T2" fmla="*/ 135 w 285"/>
              <a:gd name="T3" fmla="*/ 55 h 57"/>
              <a:gd name="T4" fmla="*/ 143 w 285"/>
              <a:gd name="T5" fmla="*/ 41 h 57"/>
              <a:gd name="T6" fmla="*/ 145 w 285"/>
              <a:gd name="T7" fmla="*/ 1 h 57"/>
              <a:gd name="T8" fmla="*/ 285 w 285"/>
              <a:gd name="T9" fmla="*/ 0 h 5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285"/>
              <a:gd name="T16" fmla="*/ 0 h 57"/>
              <a:gd name="T17" fmla="*/ 285 w 285"/>
              <a:gd name="T18" fmla="*/ 57 h 57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285" h="57">
                <a:moveTo>
                  <a:pt x="0" y="57"/>
                </a:moveTo>
                <a:lnTo>
                  <a:pt x="135" y="55"/>
                </a:lnTo>
                <a:lnTo>
                  <a:pt x="143" y="41"/>
                </a:lnTo>
                <a:lnTo>
                  <a:pt x="145" y="1"/>
                </a:lnTo>
                <a:lnTo>
                  <a:pt x="285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67" name="Text Box 1843">
            <a:extLst>
              <a:ext uri="{FF2B5EF4-FFF2-40B4-BE49-F238E27FC236}">
                <a16:creationId xmlns:a16="http://schemas.microsoft.com/office/drawing/2014/main" id="{00000000-0008-0000-0800-00003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" y="1869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68" name="Text Box 1844">
            <a:extLst>
              <a:ext uri="{FF2B5EF4-FFF2-40B4-BE49-F238E27FC236}">
                <a16:creationId xmlns:a16="http://schemas.microsoft.com/office/drawing/2014/main" id="{00000000-0008-0000-0800-00003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5" y="1946"/>
            <a:ext cx="1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Gallup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69" name="Text Box 1845">
            <a:extLst>
              <a:ext uri="{FF2B5EF4-FFF2-40B4-BE49-F238E27FC236}">
                <a16:creationId xmlns:a16="http://schemas.microsoft.com/office/drawing/2014/main" id="{00000000-0008-0000-0800-00003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0" y="2326"/>
            <a:ext cx="106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Zuni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22" name="Line 1846">
            <a:extLst>
              <a:ext uri="{FF2B5EF4-FFF2-40B4-BE49-F238E27FC236}">
                <a16:creationId xmlns:a16="http://schemas.microsoft.com/office/drawing/2014/main" id="{00000000-0008-0000-0800-00003E110300}"/>
              </a:ext>
            </a:extLst>
          </xdr:cNvPr>
          <xdr:cNvSpPr>
            <a:spLocks noChangeShapeType="1"/>
          </xdr:cNvSpPr>
        </xdr:nvSpPr>
        <xdr:spPr bwMode="auto">
          <a:xfrm>
            <a:off x="1824" y="1642"/>
            <a:ext cx="150" cy="0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 type="triangle" w="med" len="med"/>
              </a14:hiddenLine>
            </a:ext>
          </a:extLst>
        </xdr:spPr>
      </xdr:sp>
      <xdr:sp macro="" textlink="">
        <xdr:nvSpPr>
          <xdr:cNvPr id="201023" name="Line 1847">
            <a:extLst>
              <a:ext uri="{FF2B5EF4-FFF2-40B4-BE49-F238E27FC236}">
                <a16:creationId xmlns:a16="http://schemas.microsoft.com/office/drawing/2014/main" id="{00000000-0008-0000-0800-00003F110300}"/>
              </a:ext>
            </a:extLst>
          </xdr:cNvPr>
          <xdr:cNvSpPr>
            <a:spLocks noChangeShapeType="1"/>
          </xdr:cNvSpPr>
        </xdr:nvSpPr>
        <xdr:spPr bwMode="auto">
          <a:xfrm>
            <a:off x="1776" y="1680"/>
            <a:ext cx="210" cy="0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 type="triangle" w="med" len="med"/>
              </a14:hiddenLine>
            </a:ext>
          </a:extLst>
        </xdr:spPr>
      </xdr:sp>
      <xdr:sp macro="" textlink="">
        <xdr:nvSpPr>
          <xdr:cNvPr id="28472" name="Text Box 1848">
            <a:extLst>
              <a:ext uri="{FF2B5EF4-FFF2-40B4-BE49-F238E27FC236}">
                <a16:creationId xmlns:a16="http://schemas.microsoft.com/office/drawing/2014/main" id="{00000000-0008-0000-0800-00003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1" y="1585"/>
            <a:ext cx="277" cy="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Alamos </a:t>
            </a: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73" name="Text Box 1849">
            <a:extLst>
              <a:ext uri="{FF2B5EF4-FFF2-40B4-BE49-F238E27FC236}">
                <a16:creationId xmlns:a16="http://schemas.microsoft.com/office/drawing/2014/main" id="{00000000-0008-0000-0800-00003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70" y="1679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26" name="Line 1850">
            <a:extLst>
              <a:ext uri="{FF2B5EF4-FFF2-40B4-BE49-F238E27FC236}">
                <a16:creationId xmlns:a16="http://schemas.microsoft.com/office/drawing/2014/main" id="{00000000-0008-0000-0800-00004211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8" y="1565"/>
            <a:ext cx="0" cy="7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027" name="Freeform 1851">
            <a:extLst>
              <a:ext uri="{FF2B5EF4-FFF2-40B4-BE49-F238E27FC236}">
                <a16:creationId xmlns:a16="http://schemas.microsoft.com/office/drawing/2014/main" id="{00000000-0008-0000-0800-000043110300}"/>
              </a:ext>
            </a:extLst>
          </xdr:cNvPr>
          <xdr:cNvSpPr>
            <a:spLocks/>
          </xdr:cNvSpPr>
        </xdr:nvSpPr>
        <xdr:spPr bwMode="auto">
          <a:xfrm>
            <a:off x="2129" y="1572"/>
            <a:ext cx="196" cy="1"/>
          </a:xfrm>
          <a:custGeom>
            <a:avLst/>
            <a:gdLst>
              <a:gd name="T0" fmla="*/ 0 w 196"/>
              <a:gd name="T1" fmla="*/ 0 h 1"/>
              <a:gd name="T2" fmla="*/ 196 w 196"/>
              <a:gd name="T3" fmla="*/ 0 h 1"/>
              <a:gd name="T4" fmla="*/ 0 60000 65536"/>
              <a:gd name="T5" fmla="*/ 0 60000 65536"/>
              <a:gd name="T6" fmla="*/ 0 w 196"/>
              <a:gd name="T7" fmla="*/ 0 h 1"/>
              <a:gd name="T8" fmla="*/ 196 w 196"/>
              <a:gd name="T9" fmla="*/ 1 h 1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196" h="1">
                <a:moveTo>
                  <a:pt x="0" y="0"/>
                </a:moveTo>
                <a:lnTo>
                  <a:pt x="196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28" name="Line 1852">
            <a:extLst>
              <a:ext uri="{FF2B5EF4-FFF2-40B4-BE49-F238E27FC236}">
                <a16:creationId xmlns:a16="http://schemas.microsoft.com/office/drawing/2014/main" id="{00000000-0008-0000-0800-000044110300}"/>
              </a:ext>
            </a:extLst>
          </xdr:cNvPr>
          <xdr:cNvSpPr>
            <a:spLocks noChangeShapeType="1"/>
          </xdr:cNvSpPr>
        </xdr:nvSpPr>
        <xdr:spPr bwMode="auto">
          <a:xfrm>
            <a:off x="2010" y="2160"/>
            <a:ext cx="313" cy="0"/>
          </a:xfrm>
          <a:prstGeom prst="line">
            <a:avLst/>
          </a:prstGeom>
          <a:noFill/>
          <a:ln w="9525">
            <a:solidFill>
              <a:srgbClr val="33339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029" name="Freeform 1853">
            <a:extLst>
              <a:ext uri="{FF2B5EF4-FFF2-40B4-BE49-F238E27FC236}">
                <a16:creationId xmlns:a16="http://schemas.microsoft.com/office/drawing/2014/main" id="{00000000-0008-0000-0800-000045110300}"/>
              </a:ext>
            </a:extLst>
          </xdr:cNvPr>
          <xdr:cNvSpPr>
            <a:spLocks/>
          </xdr:cNvSpPr>
        </xdr:nvSpPr>
        <xdr:spPr bwMode="auto">
          <a:xfrm>
            <a:off x="1599" y="1535"/>
            <a:ext cx="417" cy="643"/>
          </a:xfrm>
          <a:custGeom>
            <a:avLst/>
            <a:gdLst>
              <a:gd name="T0" fmla="*/ 89 w 417"/>
              <a:gd name="T1" fmla="*/ 0 h 643"/>
              <a:gd name="T2" fmla="*/ 90 w 417"/>
              <a:gd name="T3" fmla="*/ 118 h 643"/>
              <a:gd name="T4" fmla="*/ 48 w 417"/>
              <a:gd name="T5" fmla="*/ 109 h 643"/>
              <a:gd name="T6" fmla="*/ 48 w 417"/>
              <a:gd name="T7" fmla="*/ 334 h 643"/>
              <a:gd name="T8" fmla="*/ 5 w 417"/>
              <a:gd name="T9" fmla="*/ 334 h 643"/>
              <a:gd name="T10" fmla="*/ 0 w 417"/>
              <a:gd name="T11" fmla="*/ 643 h 643"/>
              <a:gd name="T12" fmla="*/ 195 w 417"/>
              <a:gd name="T13" fmla="*/ 643 h 643"/>
              <a:gd name="T14" fmla="*/ 207 w 417"/>
              <a:gd name="T15" fmla="*/ 610 h 643"/>
              <a:gd name="T16" fmla="*/ 246 w 417"/>
              <a:gd name="T17" fmla="*/ 580 h 643"/>
              <a:gd name="T18" fmla="*/ 264 w 417"/>
              <a:gd name="T19" fmla="*/ 547 h 643"/>
              <a:gd name="T20" fmla="*/ 216 w 417"/>
              <a:gd name="T21" fmla="*/ 544 h 643"/>
              <a:gd name="T22" fmla="*/ 216 w 417"/>
              <a:gd name="T23" fmla="*/ 478 h 643"/>
              <a:gd name="T24" fmla="*/ 192 w 417"/>
              <a:gd name="T25" fmla="*/ 475 h 643"/>
              <a:gd name="T26" fmla="*/ 192 w 417"/>
              <a:gd name="T27" fmla="*/ 274 h 643"/>
              <a:gd name="T28" fmla="*/ 410 w 417"/>
              <a:gd name="T29" fmla="*/ 274 h 643"/>
              <a:gd name="T30" fmla="*/ 411 w 417"/>
              <a:gd name="T31" fmla="*/ 217 h 643"/>
              <a:gd name="T32" fmla="*/ 321 w 417"/>
              <a:gd name="T33" fmla="*/ 148 h 643"/>
              <a:gd name="T34" fmla="*/ 321 w 417"/>
              <a:gd name="T35" fmla="*/ 40 h 643"/>
              <a:gd name="T36" fmla="*/ 369 w 417"/>
              <a:gd name="T37" fmla="*/ 43 h 643"/>
              <a:gd name="T38" fmla="*/ 384 w 417"/>
              <a:gd name="T39" fmla="*/ 22 h 643"/>
              <a:gd name="T40" fmla="*/ 414 w 417"/>
              <a:gd name="T41" fmla="*/ 27 h 643"/>
              <a:gd name="T42" fmla="*/ 417 w 417"/>
              <a:gd name="T43" fmla="*/ 27 h 643"/>
              <a:gd name="T44" fmla="*/ 417 w 417"/>
              <a:gd name="T45" fmla="*/ 6 h 643"/>
              <a:gd name="T46" fmla="*/ 414 w 417"/>
              <a:gd name="T47" fmla="*/ 0 h 643"/>
              <a:gd name="T48" fmla="*/ 89 w 417"/>
              <a:gd name="T49" fmla="*/ 0 h 643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w 417"/>
              <a:gd name="T76" fmla="*/ 0 h 643"/>
              <a:gd name="T77" fmla="*/ 417 w 417"/>
              <a:gd name="T78" fmla="*/ 643 h 643"/>
            </a:gdLst>
            <a:ahLst/>
            <a:cxnLst>
              <a:cxn ang="T50">
                <a:pos x="T0" y="T1"/>
              </a:cxn>
              <a:cxn ang="T51">
                <a:pos x="T2" y="T3"/>
              </a:cxn>
              <a:cxn ang="T52">
                <a:pos x="T4" y="T5"/>
              </a:cxn>
              <a:cxn ang="T53">
                <a:pos x="T6" y="T7"/>
              </a:cxn>
              <a:cxn ang="T54">
                <a:pos x="T8" y="T9"/>
              </a:cxn>
              <a:cxn ang="T55">
                <a:pos x="T10" y="T11"/>
              </a:cxn>
              <a:cxn ang="T56">
                <a:pos x="T12" y="T13"/>
              </a:cxn>
              <a:cxn ang="T57">
                <a:pos x="T14" y="T15"/>
              </a:cxn>
              <a:cxn ang="T58">
                <a:pos x="T16" y="T17"/>
              </a:cxn>
              <a:cxn ang="T59">
                <a:pos x="T18" y="T19"/>
              </a:cxn>
              <a:cxn ang="T60">
                <a:pos x="T20" y="T21"/>
              </a:cxn>
              <a:cxn ang="T61">
                <a:pos x="T22" y="T23"/>
              </a:cxn>
              <a:cxn ang="T62">
                <a:pos x="T24" y="T25"/>
              </a:cxn>
              <a:cxn ang="T63">
                <a:pos x="T26" y="T27"/>
              </a:cxn>
              <a:cxn ang="T64">
                <a:pos x="T28" y="T29"/>
              </a:cxn>
              <a:cxn ang="T65">
                <a:pos x="T30" y="T31"/>
              </a:cxn>
              <a:cxn ang="T66">
                <a:pos x="T32" y="T33"/>
              </a:cxn>
              <a:cxn ang="T67">
                <a:pos x="T34" y="T35"/>
              </a:cxn>
              <a:cxn ang="T68">
                <a:pos x="T36" y="T37"/>
              </a:cxn>
              <a:cxn ang="T69">
                <a:pos x="T38" y="T39"/>
              </a:cxn>
              <a:cxn ang="T70">
                <a:pos x="T40" y="T41"/>
              </a:cxn>
              <a:cxn ang="T71">
                <a:pos x="T42" y="T43"/>
              </a:cxn>
              <a:cxn ang="T72">
                <a:pos x="T44" y="T45"/>
              </a:cxn>
              <a:cxn ang="T73">
                <a:pos x="T46" y="T47"/>
              </a:cxn>
              <a:cxn ang="T74">
                <a:pos x="T48" y="T49"/>
              </a:cxn>
            </a:cxnLst>
            <a:rect l="T75" t="T76" r="T77" b="T78"/>
            <a:pathLst>
              <a:path w="417" h="643">
                <a:moveTo>
                  <a:pt x="89" y="0"/>
                </a:moveTo>
                <a:lnTo>
                  <a:pt x="90" y="118"/>
                </a:lnTo>
                <a:lnTo>
                  <a:pt x="48" y="109"/>
                </a:lnTo>
                <a:lnTo>
                  <a:pt x="48" y="334"/>
                </a:lnTo>
                <a:lnTo>
                  <a:pt x="5" y="334"/>
                </a:lnTo>
                <a:lnTo>
                  <a:pt x="0" y="643"/>
                </a:lnTo>
                <a:lnTo>
                  <a:pt x="195" y="643"/>
                </a:lnTo>
                <a:lnTo>
                  <a:pt x="207" y="610"/>
                </a:lnTo>
                <a:lnTo>
                  <a:pt x="246" y="580"/>
                </a:lnTo>
                <a:lnTo>
                  <a:pt x="264" y="547"/>
                </a:lnTo>
                <a:lnTo>
                  <a:pt x="216" y="544"/>
                </a:lnTo>
                <a:lnTo>
                  <a:pt x="216" y="478"/>
                </a:lnTo>
                <a:lnTo>
                  <a:pt x="192" y="475"/>
                </a:lnTo>
                <a:lnTo>
                  <a:pt x="192" y="274"/>
                </a:lnTo>
                <a:lnTo>
                  <a:pt x="410" y="274"/>
                </a:lnTo>
                <a:lnTo>
                  <a:pt x="411" y="217"/>
                </a:lnTo>
                <a:lnTo>
                  <a:pt x="321" y="148"/>
                </a:lnTo>
                <a:lnTo>
                  <a:pt x="321" y="40"/>
                </a:lnTo>
                <a:lnTo>
                  <a:pt x="369" y="43"/>
                </a:lnTo>
                <a:lnTo>
                  <a:pt x="384" y="22"/>
                </a:lnTo>
                <a:lnTo>
                  <a:pt x="414" y="27"/>
                </a:lnTo>
                <a:lnTo>
                  <a:pt x="417" y="27"/>
                </a:lnTo>
                <a:lnTo>
                  <a:pt x="417" y="6"/>
                </a:lnTo>
                <a:lnTo>
                  <a:pt x="414" y="0"/>
                </a:lnTo>
                <a:lnTo>
                  <a:pt x="89" y="0"/>
                </a:lnTo>
                <a:close/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30" name="Freeform 1854">
            <a:extLst>
              <a:ext uri="{FF2B5EF4-FFF2-40B4-BE49-F238E27FC236}">
                <a16:creationId xmlns:a16="http://schemas.microsoft.com/office/drawing/2014/main" id="{00000000-0008-0000-0800-000046110300}"/>
              </a:ext>
            </a:extLst>
          </xdr:cNvPr>
          <xdr:cNvSpPr>
            <a:spLocks/>
          </xdr:cNvSpPr>
        </xdr:nvSpPr>
        <xdr:spPr bwMode="auto">
          <a:xfrm>
            <a:off x="1599" y="2178"/>
            <a:ext cx="197" cy="59"/>
          </a:xfrm>
          <a:custGeom>
            <a:avLst/>
            <a:gdLst>
              <a:gd name="T0" fmla="*/ 0 w 197"/>
              <a:gd name="T1" fmla="*/ 51 h 59"/>
              <a:gd name="T2" fmla="*/ 0 w 197"/>
              <a:gd name="T3" fmla="*/ 0 h 59"/>
              <a:gd name="T4" fmla="*/ 197 w 197"/>
              <a:gd name="T5" fmla="*/ 0 h 59"/>
              <a:gd name="T6" fmla="*/ 195 w 197"/>
              <a:gd name="T7" fmla="*/ 59 h 59"/>
              <a:gd name="T8" fmla="*/ 0 w 197"/>
              <a:gd name="T9" fmla="*/ 51 h 5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7"/>
              <a:gd name="T16" fmla="*/ 0 h 59"/>
              <a:gd name="T17" fmla="*/ 197 w 197"/>
              <a:gd name="T18" fmla="*/ 59 h 5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7" h="59">
                <a:moveTo>
                  <a:pt x="0" y="51"/>
                </a:moveTo>
                <a:lnTo>
                  <a:pt x="0" y="0"/>
                </a:lnTo>
                <a:lnTo>
                  <a:pt x="197" y="0"/>
                </a:lnTo>
                <a:lnTo>
                  <a:pt x="195" y="59"/>
                </a:lnTo>
                <a:lnTo>
                  <a:pt x="0" y="51"/>
                </a:lnTo>
                <a:close/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31" name="Freeform 1855">
            <a:extLst>
              <a:ext uri="{FF2B5EF4-FFF2-40B4-BE49-F238E27FC236}">
                <a16:creationId xmlns:a16="http://schemas.microsoft.com/office/drawing/2014/main" id="{00000000-0008-0000-0800-000047110300}"/>
              </a:ext>
            </a:extLst>
          </xdr:cNvPr>
          <xdr:cNvSpPr>
            <a:spLocks/>
          </xdr:cNvSpPr>
        </xdr:nvSpPr>
        <xdr:spPr bwMode="auto">
          <a:xfrm>
            <a:off x="288" y="2400"/>
            <a:ext cx="1104" cy="384"/>
          </a:xfrm>
          <a:custGeom>
            <a:avLst/>
            <a:gdLst>
              <a:gd name="T0" fmla="*/ 0 w 1104"/>
              <a:gd name="T1" fmla="*/ 0 h 384"/>
              <a:gd name="T2" fmla="*/ 0 w 1104"/>
              <a:gd name="T3" fmla="*/ 336 h 384"/>
              <a:gd name="T4" fmla="*/ 1104 w 1104"/>
              <a:gd name="T5" fmla="*/ 384 h 384"/>
              <a:gd name="T6" fmla="*/ 144 w 1104"/>
              <a:gd name="T7" fmla="*/ 0 h 384"/>
              <a:gd name="T8" fmla="*/ 0 60000 65536"/>
              <a:gd name="T9" fmla="*/ 0 60000 65536"/>
              <a:gd name="T10" fmla="*/ 0 60000 65536"/>
              <a:gd name="T11" fmla="*/ 0 60000 65536"/>
              <a:gd name="T12" fmla="*/ 0 w 1104"/>
              <a:gd name="T13" fmla="*/ 0 h 384"/>
              <a:gd name="T14" fmla="*/ 1104 w 1104"/>
              <a:gd name="T15" fmla="*/ 384 h 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104" h="384">
                <a:moveTo>
                  <a:pt x="0" y="0"/>
                </a:moveTo>
                <a:lnTo>
                  <a:pt x="0" y="336"/>
                </a:lnTo>
                <a:lnTo>
                  <a:pt x="1104" y="384"/>
                </a:lnTo>
                <a:lnTo>
                  <a:pt x="144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  <xdr:sp macro="" textlink="">
        <xdr:nvSpPr>
          <xdr:cNvPr id="201032" name="Freeform 1856">
            <a:extLst>
              <a:ext uri="{FF2B5EF4-FFF2-40B4-BE49-F238E27FC236}">
                <a16:creationId xmlns:a16="http://schemas.microsoft.com/office/drawing/2014/main" id="{00000000-0008-0000-0800-000048110300}"/>
              </a:ext>
            </a:extLst>
          </xdr:cNvPr>
          <xdr:cNvSpPr>
            <a:spLocks/>
          </xdr:cNvSpPr>
        </xdr:nvSpPr>
        <xdr:spPr bwMode="auto">
          <a:xfrm>
            <a:off x="282" y="2097"/>
            <a:ext cx="1217" cy="695"/>
          </a:xfrm>
          <a:custGeom>
            <a:avLst/>
            <a:gdLst>
              <a:gd name="T0" fmla="*/ 17 w 1217"/>
              <a:gd name="T1" fmla="*/ 313 h 695"/>
              <a:gd name="T2" fmla="*/ 0 w 1217"/>
              <a:gd name="T3" fmla="*/ 671 h 695"/>
              <a:gd name="T4" fmla="*/ 812 w 1217"/>
              <a:gd name="T5" fmla="*/ 691 h 695"/>
              <a:gd name="T6" fmla="*/ 1122 w 1217"/>
              <a:gd name="T7" fmla="*/ 695 h 695"/>
              <a:gd name="T8" fmla="*/ 1128 w 1217"/>
              <a:gd name="T9" fmla="*/ 470 h 695"/>
              <a:gd name="T10" fmla="*/ 1130 w 1217"/>
              <a:gd name="T11" fmla="*/ 362 h 695"/>
              <a:gd name="T12" fmla="*/ 1217 w 1217"/>
              <a:gd name="T13" fmla="*/ 361 h 695"/>
              <a:gd name="T14" fmla="*/ 1116 w 1217"/>
              <a:gd name="T15" fmla="*/ 38 h 695"/>
              <a:gd name="T16" fmla="*/ 1079 w 1217"/>
              <a:gd name="T17" fmla="*/ 36 h 695"/>
              <a:gd name="T18" fmla="*/ 884 w 1217"/>
              <a:gd name="T19" fmla="*/ 39 h 695"/>
              <a:gd name="T20" fmla="*/ 884 w 1217"/>
              <a:gd name="T21" fmla="*/ 0 h 695"/>
              <a:gd name="T22" fmla="*/ 809 w 1217"/>
              <a:gd name="T23" fmla="*/ 0 h 695"/>
              <a:gd name="T24" fmla="*/ 807 w 1217"/>
              <a:gd name="T25" fmla="*/ 29 h 695"/>
              <a:gd name="T26" fmla="*/ 363 w 1217"/>
              <a:gd name="T27" fmla="*/ 20 h 695"/>
              <a:gd name="T28" fmla="*/ 359 w 1217"/>
              <a:gd name="T29" fmla="*/ 317 h 695"/>
              <a:gd name="T30" fmla="*/ 17 w 1217"/>
              <a:gd name="T31" fmla="*/ 313 h 695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1217"/>
              <a:gd name="T49" fmla="*/ 0 h 695"/>
              <a:gd name="T50" fmla="*/ 1217 w 1217"/>
              <a:gd name="T51" fmla="*/ 695 h 695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1217" h="695">
                <a:moveTo>
                  <a:pt x="17" y="313"/>
                </a:moveTo>
                <a:lnTo>
                  <a:pt x="0" y="671"/>
                </a:lnTo>
                <a:lnTo>
                  <a:pt x="812" y="691"/>
                </a:lnTo>
                <a:lnTo>
                  <a:pt x="1122" y="695"/>
                </a:lnTo>
                <a:lnTo>
                  <a:pt x="1128" y="470"/>
                </a:lnTo>
                <a:lnTo>
                  <a:pt x="1130" y="362"/>
                </a:lnTo>
                <a:lnTo>
                  <a:pt x="1217" y="361"/>
                </a:lnTo>
                <a:lnTo>
                  <a:pt x="1116" y="38"/>
                </a:lnTo>
                <a:lnTo>
                  <a:pt x="1079" y="36"/>
                </a:lnTo>
                <a:lnTo>
                  <a:pt x="884" y="39"/>
                </a:lnTo>
                <a:lnTo>
                  <a:pt x="884" y="0"/>
                </a:lnTo>
                <a:lnTo>
                  <a:pt x="809" y="0"/>
                </a:lnTo>
                <a:lnTo>
                  <a:pt x="807" y="29"/>
                </a:lnTo>
                <a:lnTo>
                  <a:pt x="363" y="20"/>
                </a:lnTo>
                <a:lnTo>
                  <a:pt x="359" y="317"/>
                </a:lnTo>
                <a:lnTo>
                  <a:pt x="17" y="313"/>
                </a:lnTo>
                <a:close/>
              </a:path>
            </a:pathLst>
          </a:custGeom>
          <a:noFill/>
          <a:ln w="15875" cap="flat" cmpd="sng">
            <a:solidFill>
              <a:srgbClr val="CC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81" name="Text Box 1857">
            <a:extLst>
              <a:ext uri="{FF2B5EF4-FFF2-40B4-BE49-F238E27FC236}">
                <a16:creationId xmlns:a16="http://schemas.microsoft.com/office/drawing/2014/main" id="{00000000-0008-0000-0800-00004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0" y="2350"/>
            <a:ext cx="47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2" name="Text Box 1858">
            <a:extLst>
              <a:ext uri="{FF2B5EF4-FFF2-40B4-BE49-F238E27FC236}">
                <a16:creationId xmlns:a16="http://schemas.microsoft.com/office/drawing/2014/main" id="{00000000-0008-0000-0800-00004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3" y="2676"/>
            <a:ext cx="2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QM-02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3" name="Text Box 1859">
            <a:extLst>
              <a:ext uri="{FF2B5EF4-FFF2-40B4-BE49-F238E27FC236}">
                <a16:creationId xmlns:a16="http://schemas.microsoft.com/office/drawing/2014/main" id="{00000000-0008-0000-0800-00004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3" y="2208"/>
            <a:ext cx="14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Milan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4" name="Text Box 1860">
            <a:extLst>
              <a:ext uri="{FF2B5EF4-FFF2-40B4-BE49-F238E27FC236}">
                <a16:creationId xmlns:a16="http://schemas.microsoft.com/office/drawing/2014/main" id="{00000000-0008-0000-0800-00004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" y="2291"/>
            <a:ext cx="17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Grants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5" name="Text Box 1861">
            <a:extLst>
              <a:ext uri="{FF2B5EF4-FFF2-40B4-BE49-F238E27FC236}">
                <a16:creationId xmlns:a16="http://schemas.microsoft.com/office/drawing/2014/main" id="{00000000-0008-0000-0800-00004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2955"/>
            <a:ext cx="14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2-A                                     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38" name="Freeform 1862">
            <a:extLst>
              <a:ext uri="{FF2B5EF4-FFF2-40B4-BE49-F238E27FC236}">
                <a16:creationId xmlns:a16="http://schemas.microsoft.com/office/drawing/2014/main" id="{00000000-0008-0000-0800-00004E110300}"/>
              </a:ext>
            </a:extLst>
          </xdr:cNvPr>
          <xdr:cNvSpPr>
            <a:spLocks/>
          </xdr:cNvSpPr>
        </xdr:nvSpPr>
        <xdr:spPr bwMode="auto">
          <a:xfrm>
            <a:off x="296" y="3003"/>
            <a:ext cx="106" cy="5"/>
          </a:xfrm>
          <a:custGeom>
            <a:avLst/>
            <a:gdLst>
              <a:gd name="T0" fmla="*/ 106 w 106"/>
              <a:gd name="T1" fmla="*/ 0 h 5"/>
              <a:gd name="T2" fmla="*/ 39 w 106"/>
              <a:gd name="T3" fmla="*/ 0 h 5"/>
              <a:gd name="T4" fmla="*/ 0 w 106"/>
              <a:gd name="T5" fmla="*/ 5 h 5"/>
              <a:gd name="T6" fmla="*/ 0 60000 65536"/>
              <a:gd name="T7" fmla="*/ 0 60000 65536"/>
              <a:gd name="T8" fmla="*/ 0 60000 65536"/>
              <a:gd name="T9" fmla="*/ 0 w 106"/>
              <a:gd name="T10" fmla="*/ 0 h 5"/>
              <a:gd name="T11" fmla="*/ 106 w 106"/>
              <a:gd name="T12" fmla="*/ 5 h 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06" h="5">
                <a:moveTo>
                  <a:pt x="106" y="0"/>
                </a:moveTo>
                <a:lnTo>
                  <a:pt x="39" y="0"/>
                </a:lnTo>
                <a:lnTo>
                  <a:pt x="0" y="5"/>
                </a:ln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87" name="Text Box 1863">
            <a:extLst>
              <a:ext uri="{FF2B5EF4-FFF2-40B4-BE49-F238E27FC236}">
                <a16:creationId xmlns:a16="http://schemas.microsoft.com/office/drawing/2014/main" id="{00000000-0008-0000-0800-00004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1" y="2908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8" name="Text Box 1864">
            <a:extLst>
              <a:ext uri="{FF2B5EF4-FFF2-40B4-BE49-F238E27FC236}">
                <a16:creationId xmlns:a16="http://schemas.microsoft.com/office/drawing/2014/main" id="{00000000-0008-0000-0800-00004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0" y="3661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89" name="Text Box 1865">
            <a:extLst>
              <a:ext uri="{FF2B5EF4-FFF2-40B4-BE49-F238E27FC236}">
                <a16:creationId xmlns:a16="http://schemas.microsoft.com/office/drawing/2014/main" id="{00000000-0008-0000-0800-00004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" y="3756"/>
            <a:ext cx="194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Reserve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0" name="Text Box 1866">
            <a:extLst>
              <a:ext uri="{FF2B5EF4-FFF2-40B4-BE49-F238E27FC236}">
                <a16:creationId xmlns:a16="http://schemas.microsoft.com/office/drawing/2014/main" id="{00000000-0008-0000-0800-00004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51" y="3074"/>
            <a:ext cx="27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Magdalena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1" name="Text Box 1867">
            <a:extLst>
              <a:ext uri="{FF2B5EF4-FFF2-40B4-BE49-F238E27FC236}">
                <a16:creationId xmlns:a16="http://schemas.microsoft.com/office/drawing/2014/main" id="{00000000-0008-0000-0800-00004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64" y="3240"/>
            <a:ext cx="19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Socorro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2" name="Text Box 1868">
            <a:extLst>
              <a:ext uri="{FF2B5EF4-FFF2-40B4-BE49-F238E27FC236}">
                <a16:creationId xmlns:a16="http://schemas.microsoft.com/office/drawing/2014/main" id="{00000000-0008-0000-0800-00004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9" y="3216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3" name="Text Box 1869">
            <a:extLst>
              <a:ext uri="{FF2B5EF4-FFF2-40B4-BE49-F238E27FC236}">
                <a16:creationId xmlns:a16="http://schemas.microsoft.com/office/drawing/2014/main" id="{00000000-0008-0000-0800-00004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4" y="2925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4" name="Text Box 1870">
            <a:extLst>
              <a:ext uri="{FF2B5EF4-FFF2-40B4-BE49-F238E27FC236}">
                <a16:creationId xmlns:a16="http://schemas.microsoft.com/office/drawing/2014/main" id="{00000000-0008-0000-0800-00004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3" y="3121"/>
            <a:ext cx="1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13-T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5" name="Text Box 1871">
            <a:extLst>
              <a:ext uri="{FF2B5EF4-FFF2-40B4-BE49-F238E27FC236}">
                <a16:creationId xmlns:a16="http://schemas.microsoft.com/office/drawing/2014/main" id="{00000000-0008-0000-0800-00004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1" y="3602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48" name="Freeform 1872">
            <a:extLst>
              <a:ext uri="{FF2B5EF4-FFF2-40B4-BE49-F238E27FC236}">
                <a16:creationId xmlns:a16="http://schemas.microsoft.com/office/drawing/2014/main" id="{00000000-0008-0000-0800-000058110300}"/>
              </a:ext>
            </a:extLst>
          </xdr:cNvPr>
          <xdr:cNvSpPr>
            <a:spLocks/>
          </xdr:cNvSpPr>
        </xdr:nvSpPr>
        <xdr:spPr bwMode="auto">
          <a:xfrm>
            <a:off x="1216" y="2800"/>
            <a:ext cx="299" cy="984"/>
          </a:xfrm>
          <a:custGeom>
            <a:avLst/>
            <a:gdLst>
              <a:gd name="T0" fmla="*/ 116 w 299"/>
              <a:gd name="T1" fmla="*/ 0 h 984"/>
              <a:gd name="T2" fmla="*/ 116 w 299"/>
              <a:gd name="T3" fmla="*/ 61 h 984"/>
              <a:gd name="T4" fmla="*/ 187 w 299"/>
              <a:gd name="T5" fmla="*/ 61 h 984"/>
              <a:gd name="T6" fmla="*/ 187 w 299"/>
              <a:gd name="T7" fmla="*/ 194 h 984"/>
              <a:gd name="T8" fmla="*/ 244 w 299"/>
              <a:gd name="T9" fmla="*/ 194 h 984"/>
              <a:gd name="T10" fmla="*/ 242 w 299"/>
              <a:gd name="T11" fmla="*/ 403 h 984"/>
              <a:gd name="T12" fmla="*/ 299 w 299"/>
              <a:gd name="T13" fmla="*/ 403 h 984"/>
              <a:gd name="T14" fmla="*/ 299 w 299"/>
              <a:gd name="T15" fmla="*/ 440 h 984"/>
              <a:gd name="T16" fmla="*/ 235 w 299"/>
              <a:gd name="T17" fmla="*/ 440 h 984"/>
              <a:gd name="T18" fmla="*/ 235 w 299"/>
              <a:gd name="T19" fmla="*/ 475 h 984"/>
              <a:gd name="T20" fmla="*/ 268 w 299"/>
              <a:gd name="T21" fmla="*/ 475 h 984"/>
              <a:gd name="T22" fmla="*/ 268 w 299"/>
              <a:gd name="T23" fmla="*/ 455 h 984"/>
              <a:gd name="T24" fmla="*/ 293 w 299"/>
              <a:gd name="T25" fmla="*/ 455 h 984"/>
              <a:gd name="T26" fmla="*/ 293 w 299"/>
              <a:gd name="T27" fmla="*/ 559 h 984"/>
              <a:gd name="T28" fmla="*/ 158 w 299"/>
              <a:gd name="T29" fmla="*/ 559 h 984"/>
              <a:gd name="T30" fmla="*/ 160 w 299"/>
              <a:gd name="T31" fmla="*/ 712 h 984"/>
              <a:gd name="T32" fmla="*/ 4 w 299"/>
              <a:gd name="T33" fmla="*/ 712 h 984"/>
              <a:gd name="T34" fmla="*/ 0 w 299"/>
              <a:gd name="T35" fmla="*/ 984 h 984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99"/>
              <a:gd name="T55" fmla="*/ 0 h 984"/>
              <a:gd name="T56" fmla="*/ 299 w 299"/>
              <a:gd name="T57" fmla="*/ 984 h 984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99" h="984">
                <a:moveTo>
                  <a:pt x="116" y="0"/>
                </a:moveTo>
                <a:lnTo>
                  <a:pt x="116" y="61"/>
                </a:lnTo>
                <a:lnTo>
                  <a:pt x="187" y="61"/>
                </a:lnTo>
                <a:lnTo>
                  <a:pt x="187" y="194"/>
                </a:lnTo>
                <a:lnTo>
                  <a:pt x="244" y="194"/>
                </a:lnTo>
                <a:lnTo>
                  <a:pt x="242" y="403"/>
                </a:lnTo>
                <a:lnTo>
                  <a:pt x="299" y="403"/>
                </a:lnTo>
                <a:lnTo>
                  <a:pt x="299" y="440"/>
                </a:lnTo>
                <a:lnTo>
                  <a:pt x="235" y="440"/>
                </a:lnTo>
                <a:lnTo>
                  <a:pt x="235" y="475"/>
                </a:lnTo>
                <a:lnTo>
                  <a:pt x="268" y="475"/>
                </a:lnTo>
                <a:lnTo>
                  <a:pt x="268" y="455"/>
                </a:lnTo>
                <a:lnTo>
                  <a:pt x="293" y="455"/>
                </a:lnTo>
                <a:lnTo>
                  <a:pt x="293" y="559"/>
                </a:lnTo>
                <a:lnTo>
                  <a:pt x="158" y="559"/>
                </a:lnTo>
                <a:lnTo>
                  <a:pt x="160" y="712"/>
                </a:lnTo>
                <a:lnTo>
                  <a:pt x="4" y="712"/>
                </a:lnTo>
                <a:lnTo>
                  <a:pt x="0" y="98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49" name="Freeform 1873">
            <a:extLst>
              <a:ext uri="{FF2B5EF4-FFF2-40B4-BE49-F238E27FC236}">
                <a16:creationId xmlns:a16="http://schemas.microsoft.com/office/drawing/2014/main" id="{00000000-0008-0000-0800-000059110300}"/>
              </a:ext>
            </a:extLst>
          </xdr:cNvPr>
          <xdr:cNvSpPr>
            <a:spLocks/>
          </xdr:cNvSpPr>
        </xdr:nvSpPr>
        <xdr:spPr bwMode="auto">
          <a:xfrm>
            <a:off x="1460" y="2910"/>
            <a:ext cx="348" cy="161"/>
          </a:xfrm>
          <a:custGeom>
            <a:avLst/>
            <a:gdLst>
              <a:gd name="T0" fmla="*/ 1 w 348"/>
              <a:gd name="T1" fmla="*/ 86 h 161"/>
              <a:gd name="T2" fmla="*/ 0 w 348"/>
              <a:gd name="T3" fmla="*/ 140 h 161"/>
              <a:gd name="T4" fmla="*/ 121 w 348"/>
              <a:gd name="T5" fmla="*/ 140 h 161"/>
              <a:gd name="T6" fmla="*/ 121 w 348"/>
              <a:gd name="T7" fmla="*/ 161 h 161"/>
              <a:gd name="T8" fmla="*/ 159 w 348"/>
              <a:gd name="T9" fmla="*/ 161 h 161"/>
              <a:gd name="T10" fmla="*/ 159 w 348"/>
              <a:gd name="T11" fmla="*/ 143 h 161"/>
              <a:gd name="T12" fmla="*/ 334 w 348"/>
              <a:gd name="T13" fmla="*/ 144 h 161"/>
              <a:gd name="T14" fmla="*/ 336 w 348"/>
              <a:gd name="T15" fmla="*/ 125 h 161"/>
              <a:gd name="T16" fmla="*/ 342 w 348"/>
              <a:gd name="T17" fmla="*/ 110 h 161"/>
              <a:gd name="T18" fmla="*/ 342 w 348"/>
              <a:gd name="T19" fmla="*/ 86 h 161"/>
              <a:gd name="T20" fmla="*/ 348 w 348"/>
              <a:gd name="T21" fmla="*/ 58 h 161"/>
              <a:gd name="T22" fmla="*/ 345 w 348"/>
              <a:gd name="T23" fmla="*/ 0 h 161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348"/>
              <a:gd name="T37" fmla="*/ 0 h 161"/>
              <a:gd name="T38" fmla="*/ 348 w 348"/>
              <a:gd name="T39" fmla="*/ 161 h 161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348" h="161">
                <a:moveTo>
                  <a:pt x="1" y="86"/>
                </a:moveTo>
                <a:lnTo>
                  <a:pt x="0" y="140"/>
                </a:lnTo>
                <a:lnTo>
                  <a:pt x="121" y="140"/>
                </a:lnTo>
                <a:lnTo>
                  <a:pt x="121" y="161"/>
                </a:lnTo>
                <a:lnTo>
                  <a:pt x="159" y="161"/>
                </a:lnTo>
                <a:lnTo>
                  <a:pt x="159" y="143"/>
                </a:lnTo>
                <a:lnTo>
                  <a:pt x="334" y="144"/>
                </a:lnTo>
                <a:lnTo>
                  <a:pt x="336" y="125"/>
                </a:lnTo>
                <a:lnTo>
                  <a:pt x="342" y="110"/>
                </a:lnTo>
                <a:lnTo>
                  <a:pt x="342" y="86"/>
                </a:lnTo>
                <a:lnTo>
                  <a:pt x="348" y="58"/>
                </a:lnTo>
                <a:lnTo>
                  <a:pt x="345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98" name="Text Box 1874">
            <a:extLst>
              <a:ext uri="{FF2B5EF4-FFF2-40B4-BE49-F238E27FC236}">
                <a16:creationId xmlns:a16="http://schemas.microsoft.com/office/drawing/2014/main" id="{00000000-0008-0000-0800-00005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1" y="4082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499" name="Text Box 1875">
            <a:extLst>
              <a:ext uri="{FF2B5EF4-FFF2-40B4-BE49-F238E27FC236}">
                <a16:creationId xmlns:a16="http://schemas.microsoft.com/office/drawing/2014/main" id="{00000000-0008-0000-0800-00005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0" y="3934"/>
            <a:ext cx="32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Williamsburg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0" name="Text Box 1876">
            <a:extLst>
              <a:ext uri="{FF2B5EF4-FFF2-40B4-BE49-F238E27FC236}">
                <a16:creationId xmlns:a16="http://schemas.microsoft.com/office/drawing/2014/main" id="{00000000-0008-0000-0800-00005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" y="3934"/>
            <a:ext cx="200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Truth or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1" name="Text Box 1877">
            <a:extLst>
              <a:ext uri="{FF2B5EF4-FFF2-40B4-BE49-F238E27FC236}">
                <a16:creationId xmlns:a16="http://schemas.microsoft.com/office/drawing/2014/main" id="{00000000-0008-0000-0800-00005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9" y="3981"/>
            <a:ext cx="330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Consequences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2" name="Text Box 1878">
            <a:extLst>
              <a:ext uri="{FF2B5EF4-FFF2-40B4-BE49-F238E27FC236}">
                <a16:creationId xmlns:a16="http://schemas.microsoft.com/office/drawing/2014/main" id="{00000000-0008-0000-0800-00005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4130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3" name="Text Box 1879">
            <a:extLst>
              <a:ext uri="{FF2B5EF4-FFF2-40B4-BE49-F238E27FC236}">
                <a16:creationId xmlns:a16="http://schemas.microsoft.com/office/drawing/2014/main" id="{00000000-0008-0000-0800-00005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" y="4563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4" name="Text Box 1880">
            <a:extLst>
              <a:ext uri="{FF2B5EF4-FFF2-40B4-BE49-F238E27FC236}">
                <a16:creationId xmlns:a16="http://schemas.microsoft.com/office/drawing/2014/main" id="{00000000-0008-0000-0800-00005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" y="4753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5" name="Text Box 1881">
            <a:extLst>
              <a:ext uri="{FF2B5EF4-FFF2-40B4-BE49-F238E27FC236}">
                <a16:creationId xmlns:a16="http://schemas.microsoft.com/office/drawing/2014/main" id="{00000000-0008-0000-0800-00005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" y="5565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58" name="Freeform 1882">
            <a:extLst>
              <a:ext uri="{FF2B5EF4-FFF2-40B4-BE49-F238E27FC236}">
                <a16:creationId xmlns:a16="http://schemas.microsoft.com/office/drawing/2014/main" id="{00000000-0008-0000-0800-000062110300}"/>
              </a:ext>
            </a:extLst>
          </xdr:cNvPr>
          <xdr:cNvSpPr>
            <a:spLocks/>
          </xdr:cNvSpPr>
        </xdr:nvSpPr>
        <xdr:spPr bwMode="auto">
          <a:xfrm>
            <a:off x="201" y="4944"/>
            <a:ext cx="330" cy="51"/>
          </a:xfrm>
          <a:custGeom>
            <a:avLst/>
            <a:gdLst>
              <a:gd name="T0" fmla="*/ 0 w 330"/>
              <a:gd name="T1" fmla="*/ 42 h 51"/>
              <a:gd name="T2" fmla="*/ 51 w 330"/>
              <a:gd name="T3" fmla="*/ 42 h 51"/>
              <a:gd name="T4" fmla="*/ 51 w 330"/>
              <a:gd name="T5" fmla="*/ 0 h 51"/>
              <a:gd name="T6" fmla="*/ 176 w 330"/>
              <a:gd name="T7" fmla="*/ 0 h 51"/>
              <a:gd name="T8" fmla="*/ 176 w 330"/>
              <a:gd name="T9" fmla="*/ 51 h 51"/>
              <a:gd name="T10" fmla="*/ 330 w 330"/>
              <a:gd name="T11" fmla="*/ 51 h 5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330"/>
              <a:gd name="T19" fmla="*/ 0 h 51"/>
              <a:gd name="T20" fmla="*/ 330 w 330"/>
              <a:gd name="T21" fmla="*/ 51 h 5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330" h="51">
                <a:moveTo>
                  <a:pt x="0" y="42"/>
                </a:moveTo>
                <a:lnTo>
                  <a:pt x="51" y="42"/>
                </a:lnTo>
                <a:lnTo>
                  <a:pt x="51" y="0"/>
                </a:lnTo>
                <a:lnTo>
                  <a:pt x="176" y="0"/>
                </a:lnTo>
                <a:lnTo>
                  <a:pt x="176" y="51"/>
                </a:lnTo>
                <a:lnTo>
                  <a:pt x="330" y="51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07" name="Text Box 1883">
            <a:extLst>
              <a:ext uri="{FF2B5EF4-FFF2-40B4-BE49-F238E27FC236}">
                <a16:creationId xmlns:a16="http://schemas.microsoft.com/office/drawing/2014/main" id="{00000000-0008-0000-0800-00005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" y="4557"/>
            <a:ext cx="112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1-A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08" name="Text Box 1884">
            <a:extLst>
              <a:ext uri="{FF2B5EF4-FFF2-40B4-BE49-F238E27FC236}">
                <a16:creationId xmlns:a16="http://schemas.microsoft.com/office/drawing/2014/main" id="{00000000-0008-0000-0800-00005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2" y="4616"/>
            <a:ext cx="194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Virden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61" name="Line 1885">
            <a:extLst>
              <a:ext uri="{FF2B5EF4-FFF2-40B4-BE49-F238E27FC236}">
                <a16:creationId xmlns:a16="http://schemas.microsoft.com/office/drawing/2014/main" id="{00000000-0008-0000-0800-0000651103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40" y="4512"/>
            <a:ext cx="48" cy="96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10" name="Text Box 1886">
            <a:extLst>
              <a:ext uri="{FF2B5EF4-FFF2-40B4-BE49-F238E27FC236}">
                <a16:creationId xmlns:a16="http://schemas.microsoft.com/office/drawing/2014/main" id="{00000000-0008-0000-0800-00005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" y="4854"/>
            <a:ext cx="253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Lordsburg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1" name="Text Box 1887">
            <a:extLst>
              <a:ext uri="{FF2B5EF4-FFF2-40B4-BE49-F238E27FC236}">
                <a16:creationId xmlns:a16="http://schemas.microsoft.com/office/drawing/2014/main" id="{00000000-0008-0000-0800-00005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0" y="4320"/>
            <a:ext cx="14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Silver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2" name="Text Box 1888">
            <a:extLst>
              <a:ext uri="{FF2B5EF4-FFF2-40B4-BE49-F238E27FC236}">
                <a16:creationId xmlns:a16="http://schemas.microsoft.com/office/drawing/2014/main" id="{00000000-0008-0000-0800-00006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6" y="4379"/>
            <a:ext cx="1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City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3" name="Text Box 1889">
            <a:extLst>
              <a:ext uri="{FF2B5EF4-FFF2-40B4-BE49-F238E27FC236}">
                <a16:creationId xmlns:a16="http://schemas.microsoft.com/office/drawing/2014/main" id="{00000000-0008-0000-0800-00006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1" y="4284"/>
            <a:ext cx="14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Santa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4" name="Text Box 1890">
            <a:extLst>
              <a:ext uri="{FF2B5EF4-FFF2-40B4-BE49-F238E27FC236}">
                <a16:creationId xmlns:a16="http://schemas.microsoft.com/office/drawing/2014/main" id="{00000000-0008-0000-0800-00006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5" y="4355"/>
            <a:ext cx="14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Clara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5" name="Text Box 1891">
            <a:extLst>
              <a:ext uri="{FF2B5EF4-FFF2-40B4-BE49-F238E27FC236}">
                <a16:creationId xmlns:a16="http://schemas.microsoft.com/office/drawing/2014/main" id="{00000000-0008-0000-0800-00006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" y="4420"/>
            <a:ext cx="17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Bayard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6" name="Text Box 1892">
            <a:extLst>
              <a:ext uri="{FF2B5EF4-FFF2-40B4-BE49-F238E27FC236}">
                <a16:creationId xmlns:a16="http://schemas.microsoft.com/office/drawing/2014/main" id="{00000000-0008-0000-0800-00006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" y="4498"/>
            <a:ext cx="17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Hurley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7" name="Text Box 1893">
            <a:extLst>
              <a:ext uri="{FF2B5EF4-FFF2-40B4-BE49-F238E27FC236}">
                <a16:creationId xmlns:a16="http://schemas.microsoft.com/office/drawing/2014/main" id="{00000000-0008-0000-0800-00006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0" y="4320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2C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8" name="Text Box 1894">
            <a:extLst>
              <a:ext uri="{FF2B5EF4-FFF2-40B4-BE49-F238E27FC236}">
                <a16:creationId xmlns:a16="http://schemas.microsoft.com/office/drawing/2014/main" id="{00000000-0008-0000-0800-00006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" y="4420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2B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19" name="Text Box 1895">
            <a:extLst>
              <a:ext uri="{FF2B5EF4-FFF2-40B4-BE49-F238E27FC236}">
                <a16:creationId xmlns:a16="http://schemas.microsoft.com/office/drawing/2014/main" id="{00000000-0008-0000-0800-00006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8" y="4486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2H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72" name="Freeform 1896">
            <a:extLst>
              <a:ext uri="{FF2B5EF4-FFF2-40B4-BE49-F238E27FC236}">
                <a16:creationId xmlns:a16="http://schemas.microsoft.com/office/drawing/2014/main" id="{00000000-0008-0000-0800-000070110300}"/>
              </a:ext>
            </a:extLst>
          </xdr:cNvPr>
          <xdr:cNvSpPr>
            <a:spLocks/>
          </xdr:cNvSpPr>
        </xdr:nvSpPr>
        <xdr:spPr bwMode="auto">
          <a:xfrm>
            <a:off x="309" y="2106"/>
            <a:ext cx="305" cy="317"/>
          </a:xfrm>
          <a:custGeom>
            <a:avLst/>
            <a:gdLst>
              <a:gd name="T0" fmla="*/ 0 w 305"/>
              <a:gd name="T1" fmla="*/ 111 h 317"/>
              <a:gd name="T2" fmla="*/ 81 w 305"/>
              <a:gd name="T3" fmla="*/ 111 h 317"/>
              <a:gd name="T4" fmla="*/ 84 w 305"/>
              <a:gd name="T5" fmla="*/ 132 h 317"/>
              <a:gd name="T6" fmla="*/ 98 w 305"/>
              <a:gd name="T7" fmla="*/ 120 h 317"/>
              <a:gd name="T8" fmla="*/ 119 w 305"/>
              <a:gd name="T9" fmla="*/ 126 h 317"/>
              <a:gd name="T10" fmla="*/ 123 w 305"/>
              <a:gd name="T11" fmla="*/ 150 h 317"/>
              <a:gd name="T12" fmla="*/ 114 w 305"/>
              <a:gd name="T13" fmla="*/ 179 h 317"/>
              <a:gd name="T14" fmla="*/ 153 w 305"/>
              <a:gd name="T15" fmla="*/ 162 h 317"/>
              <a:gd name="T16" fmla="*/ 153 w 305"/>
              <a:gd name="T17" fmla="*/ 98 h 317"/>
              <a:gd name="T18" fmla="*/ 162 w 305"/>
              <a:gd name="T19" fmla="*/ 92 h 317"/>
              <a:gd name="T20" fmla="*/ 167 w 305"/>
              <a:gd name="T21" fmla="*/ 78 h 317"/>
              <a:gd name="T22" fmla="*/ 218 w 305"/>
              <a:gd name="T23" fmla="*/ 77 h 317"/>
              <a:gd name="T24" fmla="*/ 218 w 305"/>
              <a:gd name="T25" fmla="*/ 0 h 317"/>
              <a:gd name="T26" fmla="*/ 296 w 305"/>
              <a:gd name="T27" fmla="*/ 0 h 317"/>
              <a:gd name="T28" fmla="*/ 296 w 305"/>
              <a:gd name="T29" fmla="*/ 296 h 317"/>
              <a:gd name="T30" fmla="*/ 305 w 305"/>
              <a:gd name="T31" fmla="*/ 294 h 317"/>
              <a:gd name="T32" fmla="*/ 305 w 305"/>
              <a:gd name="T33" fmla="*/ 317 h 317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305"/>
              <a:gd name="T52" fmla="*/ 0 h 317"/>
              <a:gd name="T53" fmla="*/ 305 w 305"/>
              <a:gd name="T54" fmla="*/ 317 h 317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305" h="317">
                <a:moveTo>
                  <a:pt x="0" y="111"/>
                </a:moveTo>
                <a:lnTo>
                  <a:pt x="81" y="111"/>
                </a:lnTo>
                <a:lnTo>
                  <a:pt x="84" y="132"/>
                </a:lnTo>
                <a:lnTo>
                  <a:pt x="98" y="120"/>
                </a:lnTo>
                <a:lnTo>
                  <a:pt x="119" y="126"/>
                </a:lnTo>
                <a:lnTo>
                  <a:pt x="123" y="150"/>
                </a:lnTo>
                <a:lnTo>
                  <a:pt x="114" y="179"/>
                </a:lnTo>
                <a:lnTo>
                  <a:pt x="153" y="162"/>
                </a:lnTo>
                <a:lnTo>
                  <a:pt x="153" y="98"/>
                </a:lnTo>
                <a:lnTo>
                  <a:pt x="162" y="92"/>
                </a:lnTo>
                <a:lnTo>
                  <a:pt x="167" y="78"/>
                </a:lnTo>
                <a:lnTo>
                  <a:pt x="218" y="77"/>
                </a:lnTo>
                <a:lnTo>
                  <a:pt x="218" y="0"/>
                </a:lnTo>
                <a:lnTo>
                  <a:pt x="296" y="0"/>
                </a:lnTo>
                <a:lnTo>
                  <a:pt x="296" y="296"/>
                </a:lnTo>
                <a:lnTo>
                  <a:pt x="305" y="294"/>
                </a:lnTo>
                <a:lnTo>
                  <a:pt x="305" y="317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073" name="Freeform 1897">
            <a:extLst>
              <a:ext uri="{FF2B5EF4-FFF2-40B4-BE49-F238E27FC236}">
                <a16:creationId xmlns:a16="http://schemas.microsoft.com/office/drawing/2014/main" id="{00000000-0008-0000-0800-000071110300}"/>
              </a:ext>
            </a:extLst>
          </xdr:cNvPr>
          <xdr:cNvSpPr>
            <a:spLocks/>
          </xdr:cNvSpPr>
        </xdr:nvSpPr>
        <xdr:spPr bwMode="auto">
          <a:xfrm>
            <a:off x="297" y="2659"/>
            <a:ext cx="792" cy="127"/>
          </a:xfrm>
          <a:custGeom>
            <a:avLst/>
            <a:gdLst>
              <a:gd name="T0" fmla="*/ 0 w 804"/>
              <a:gd name="T1" fmla="*/ 0 h 127"/>
              <a:gd name="T2" fmla="*/ 605 w 804"/>
              <a:gd name="T3" fmla="*/ 3 h 127"/>
              <a:gd name="T4" fmla="*/ 605 w 804"/>
              <a:gd name="T5" fmla="*/ 127 h 127"/>
              <a:gd name="T6" fmla="*/ 0 60000 65536"/>
              <a:gd name="T7" fmla="*/ 0 60000 65536"/>
              <a:gd name="T8" fmla="*/ 0 60000 65536"/>
              <a:gd name="T9" fmla="*/ 0 w 804"/>
              <a:gd name="T10" fmla="*/ 0 h 127"/>
              <a:gd name="T11" fmla="*/ 804 w 804"/>
              <a:gd name="T12" fmla="*/ 127 h 12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04" h="127">
                <a:moveTo>
                  <a:pt x="0" y="0"/>
                </a:moveTo>
                <a:lnTo>
                  <a:pt x="804" y="3"/>
                </a:lnTo>
                <a:lnTo>
                  <a:pt x="804" y="127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22" name="Text Box 1898">
            <a:extLst>
              <a:ext uri="{FF2B5EF4-FFF2-40B4-BE49-F238E27FC236}">
                <a16:creationId xmlns:a16="http://schemas.microsoft.com/office/drawing/2014/main" id="{00000000-0008-0000-0800-00006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7" y="2724"/>
            <a:ext cx="477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3" name="Text Box 1899">
            <a:extLst>
              <a:ext uri="{FF2B5EF4-FFF2-40B4-BE49-F238E27FC236}">
                <a16:creationId xmlns:a16="http://schemas.microsoft.com/office/drawing/2014/main" id="{00000000-0008-0000-0800-00006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3" y="5008"/>
            <a:ext cx="18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Deming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4" name="Text Box 1900">
            <a:extLst>
              <a:ext uri="{FF2B5EF4-FFF2-40B4-BE49-F238E27FC236}">
                <a16:creationId xmlns:a16="http://schemas.microsoft.com/office/drawing/2014/main" id="{00000000-0008-0000-0800-00006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" y="5257"/>
            <a:ext cx="28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Columbus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5" name="Text Box 1901">
            <a:extLst>
              <a:ext uri="{FF2B5EF4-FFF2-40B4-BE49-F238E27FC236}">
                <a16:creationId xmlns:a16="http://schemas.microsoft.com/office/drawing/2014/main" id="{00000000-0008-0000-0800-00006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5" y="5097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6" name="Text Box 1902">
            <a:extLst>
              <a:ext uri="{FF2B5EF4-FFF2-40B4-BE49-F238E27FC236}">
                <a16:creationId xmlns:a16="http://schemas.microsoft.com/office/drawing/2014/main" id="{00000000-0008-0000-0800-00006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4" y="4509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7" name="Text Box 1903">
            <a:extLst>
              <a:ext uri="{FF2B5EF4-FFF2-40B4-BE49-F238E27FC236}">
                <a16:creationId xmlns:a16="http://schemas.microsoft.com/office/drawing/2014/main" id="{00000000-0008-0000-0800-00006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4" y="4658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8" name="Text Box 1904">
            <a:extLst>
              <a:ext uri="{FF2B5EF4-FFF2-40B4-BE49-F238E27FC236}">
                <a16:creationId xmlns:a16="http://schemas.microsoft.com/office/drawing/2014/main" id="{00000000-0008-0000-0800-00007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8" y="4990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2D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29" name="Text Box 1905">
            <a:extLst>
              <a:ext uri="{FF2B5EF4-FFF2-40B4-BE49-F238E27FC236}">
                <a16:creationId xmlns:a16="http://schemas.microsoft.com/office/drawing/2014/main" id="{00000000-0008-0000-0800-00007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1" y="5162"/>
            <a:ext cx="88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0" name="Text Box 1906">
            <a:extLst>
              <a:ext uri="{FF2B5EF4-FFF2-40B4-BE49-F238E27FC236}">
                <a16:creationId xmlns:a16="http://schemas.microsoft.com/office/drawing/2014/main" id="{00000000-0008-0000-0800-00007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6" y="5221"/>
            <a:ext cx="342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Sunland Park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1" name="Text Box 1907">
            <a:extLst>
              <a:ext uri="{FF2B5EF4-FFF2-40B4-BE49-F238E27FC236}">
                <a16:creationId xmlns:a16="http://schemas.microsoft.com/office/drawing/2014/main" id="{00000000-0008-0000-0800-00007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4" y="4990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Mesilla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2" name="Text Box 1908">
            <a:extLst>
              <a:ext uri="{FF2B5EF4-FFF2-40B4-BE49-F238E27FC236}">
                <a16:creationId xmlns:a16="http://schemas.microsoft.com/office/drawing/2014/main" id="{00000000-0008-0000-0800-00007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6" y="4551"/>
            <a:ext cx="212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Hatch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3" name="Text Box 1909">
            <a:extLst>
              <a:ext uri="{FF2B5EF4-FFF2-40B4-BE49-F238E27FC236}">
                <a16:creationId xmlns:a16="http://schemas.microsoft.com/office/drawing/2014/main" id="{00000000-0008-0000-0800-00007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3" y="4996"/>
            <a:ext cx="7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                 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4" name="Text Box 1910">
            <a:extLst>
              <a:ext uri="{FF2B5EF4-FFF2-40B4-BE49-F238E27FC236}">
                <a16:creationId xmlns:a16="http://schemas.microsoft.com/office/drawing/2014/main" id="{00000000-0008-0000-0800-00007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1608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087" name="Freeform 1911">
            <a:extLst>
              <a:ext uri="{FF2B5EF4-FFF2-40B4-BE49-F238E27FC236}">
                <a16:creationId xmlns:a16="http://schemas.microsoft.com/office/drawing/2014/main" id="{00000000-0008-0000-0800-00007F110300}"/>
              </a:ext>
            </a:extLst>
          </xdr:cNvPr>
          <xdr:cNvSpPr>
            <a:spLocks/>
          </xdr:cNvSpPr>
        </xdr:nvSpPr>
        <xdr:spPr bwMode="auto">
          <a:xfrm>
            <a:off x="1863" y="1609"/>
            <a:ext cx="122" cy="8"/>
          </a:xfrm>
          <a:custGeom>
            <a:avLst/>
            <a:gdLst>
              <a:gd name="T0" fmla="*/ 0 w 122"/>
              <a:gd name="T1" fmla="*/ 0 h 8"/>
              <a:gd name="T2" fmla="*/ 122 w 122"/>
              <a:gd name="T3" fmla="*/ 8 h 8"/>
              <a:gd name="T4" fmla="*/ 0 60000 65536"/>
              <a:gd name="T5" fmla="*/ 0 60000 65536"/>
              <a:gd name="T6" fmla="*/ 0 w 122"/>
              <a:gd name="T7" fmla="*/ 0 h 8"/>
              <a:gd name="T8" fmla="*/ 122 w 122"/>
              <a:gd name="T9" fmla="*/ 8 h 8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122" h="8">
                <a:moveTo>
                  <a:pt x="0" y="0"/>
                </a:moveTo>
                <a:lnTo>
                  <a:pt x="122" y="8"/>
                </a:lnTo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36" name="Text Box 1912">
            <a:extLst>
              <a:ext uri="{FF2B5EF4-FFF2-40B4-BE49-F238E27FC236}">
                <a16:creationId xmlns:a16="http://schemas.microsoft.com/office/drawing/2014/main" id="{00000000-0008-0000-0800-00007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3" y="1507"/>
            <a:ext cx="259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Cuba</a:t>
            </a: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7" name="Text Box 1913">
            <a:extLst>
              <a:ext uri="{FF2B5EF4-FFF2-40B4-BE49-F238E27FC236}">
                <a16:creationId xmlns:a16="http://schemas.microsoft.com/office/drawing/2014/main" id="{00000000-0008-0000-0800-00007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1" y="1733"/>
            <a:ext cx="11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8" name="Text Box 1914">
            <a:extLst>
              <a:ext uri="{FF2B5EF4-FFF2-40B4-BE49-F238E27FC236}">
                <a16:creationId xmlns:a16="http://schemas.microsoft.com/office/drawing/2014/main" id="{00000000-0008-0000-0800-00007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7" y="1786"/>
            <a:ext cx="25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Ysidro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39" name="Text Box 1915">
            <a:extLst>
              <a:ext uri="{FF2B5EF4-FFF2-40B4-BE49-F238E27FC236}">
                <a16:creationId xmlns:a16="http://schemas.microsoft.com/office/drawing/2014/main" id="{00000000-0008-0000-0800-00007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46" y="2101"/>
            <a:ext cx="118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Rio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0" name="Text Box 1916">
            <a:extLst>
              <a:ext uri="{FF2B5EF4-FFF2-40B4-BE49-F238E27FC236}">
                <a16:creationId xmlns:a16="http://schemas.microsoft.com/office/drawing/2014/main" id="{00000000-0008-0000-0800-00007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2160"/>
            <a:ext cx="17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Rancho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1" name="Text Box 1917">
            <a:extLst>
              <a:ext uri="{FF2B5EF4-FFF2-40B4-BE49-F238E27FC236}">
                <a16:creationId xmlns:a16="http://schemas.microsoft.com/office/drawing/2014/main" id="{00000000-0008-0000-0800-00007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8" y="2053"/>
            <a:ext cx="65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94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2" name="Text Box 1918">
            <a:extLst>
              <a:ext uri="{FF2B5EF4-FFF2-40B4-BE49-F238E27FC236}">
                <a16:creationId xmlns:a16="http://schemas.microsoft.com/office/drawing/2014/main" id="{00000000-0008-0000-0800-00007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93" y="1679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3" name="Text Box 1919">
            <a:extLst>
              <a:ext uri="{FF2B5EF4-FFF2-40B4-BE49-F238E27FC236}">
                <a16:creationId xmlns:a16="http://schemas.microsoft.com/office/drawing/2014/main" id="{00000000-0008-0000-0800-00007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58" y="1792"/>
            <a:ext cx="124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31-A</a:t>
            </a: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4" name="Text Box 1920">
            <a:extLst>
              <a:ext uri="{FF2B5EF4-FFF2-40B4-BE49-F238E27FC236}">
                <a16:creationId xmlns:a16="http://schemas.microsoft.com/office/drawing/2014/main" id="{00000000-0008-0000-0800-00008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" y="1662"/>
            <a:ext cx="153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Jemez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5" name="Text Box 1921">
            <a:extLst>
              <a:ext uri="{FF2B5EF4-FFF2-40B4-BE49-F238E27FC236}">
                <a16:creationId xmlns:a16="http://schemas.microsoft.com/office/drawing/2014/main" id="{00000000-0008-0000-0800-00008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" y="1721"/>
            <a:ext cx="177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Springs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6" name="Text Box 1922">
            <a:extLst>
              <a:ext uri="{FF2B5EF4-FFF2-40B4-BE49-F238E27FC236}">
                <a16:creationId xmlns:a16="http://schemas.microsoft.com/office/drawing/2014/main" id="{00000000-0008-0000-0800-00008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28" y="2172"/>
            <a:ext cx="130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2-A</a:t>
            </a: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47" name="Text Box 1923">
            <a:extLst>
              <a:ext uri="{FF2B5EF4-FFF2-40B4-BE49-F238E27FC236}">
                <a16:creationId xmlns:a16="http://schemas.microsoft.com/office/drawing/2014/main" id="{00000000-0008-0000-0800-00008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5" y="2172"/>
            <a:ext cx="206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Corrales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00" name="Line 1924">
            <a:extLst>
              <a:ext uri="{FF2B5EF4-FFF2-40B4-BE49-F238E27FC236}">
                <a16:creationId xmlns:a16="http://schemas.microsoft.com/office/drawing/2014/main" id="{00000000-0008-0000-0800-00008C1103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728" y="2208"/>
            <a:ext cx="8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49" name="Text Box 1925">
            <a:extLst>
              <a:ext uri="{FF2B5EF4-FFF2-40B4-BE49-F238E27FC236}">
                <a16:creationId xmlns:a16="http://schemas.microsoft.com/office/drawing/2014/main" id="{00000000-0008-0000-0800-00008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76" y="1929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0" name="Text Box 1926">
            <a:extLst>
              <a:ext uri="{FF2B5EF4-FFF2-40B4-BE49-F238E27FC236}">
                <a16:creationId xmlns:a16="http://schemas.microsoft.com/office/drawing/2014/main" id="{00000000-0008-0000-0800-00008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11" y="2012"/>
            <a:ext cx="247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Bernalillo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1" name="Text Box 1927">
            <a:extLst>
              <a:ext uri="{FF2B5EF4-FFF2-40B4-BE49-F238E27FC236}">
                <a16:creationId xmlns:a16="http://schemas.microsoft.com/office/drawing/2014/main" id="{00000000-0008-0000-0800-00008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" y="2421"/>
            <a:ext cx="18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Moriarty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04" name="Freeform 1928">
            <a:extLst>
              <a:ext uri="{FF2B5EF4-FFF2-40B4-BE49-F238E27FC236}">
                <a16:creationId xmlns:a16="http://schemas.microsoft.com/office/drawing/2014/main" id="{00000000-0008-0000-0800-000090110300}"/>
              </a:ext>
            </a:extLst>
          </xdr:cNvPr>
          <xdr:cNvSpPr>
            <a:spLocks/>
          </xdr:cNvSpPr>
        </xdr:nvSpPr>
        <xdr:spPr bwMode="auto">
          <a:xfrm>
            <a:off x="1977" y="2307"/>
            <a:ext cx="30" cy="93"/>
          </a:xfrm>
          <a:custGeom>
            <a:avLst/>
            <a:gdLst>
              <a:gd name="T0" fmla="*/ 30 w 30"/>
              <a:gd name="T1" fmla="*/ 0 h 93"/>
              <a:gd name="T2" fmla="*/ 9 w 30"/>
              <a:gd name="T3" fmla="*/ 15 h 93"/>
              <a:gd name="T4" fmla="*/ 6 w 30"/>
              <a:gd name="T5" fmla="*/ 33 h 93"/>
              <a:gd name="T6" fmla="*/ 3 w 30"/>
              <a:gd name="T7" fmla="*/ 51 h 93"/>
              <a:gd name="T8" fmla="*/ 0 w 30"/>
              <a:gd name="T9" fmla="*/ 93 h 93"/>
              <a:gd name="T10" fmla="*/ 30 w 30"/>
              <a:gd name="T11" fmla="*/ 93 h 9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30"/>
              <a:gd name="T19" fmla="*/ 0 h 93"/>
              <a:gd name="T20" fmla="*/ 30 w 30"/>
              <a:gd name="T21" fmla="*/ 93 h 93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30" h="93">
                <a:moveTo>
                  <a:pt x="30" y="0"/>
                </a:moveTo>
                <a:lnTo>
                  <a:pt x="9" y="15"/>
                </a:lnTo>
                <a:lnTo>
                  <a:pt x="6" y="33"/>
                </a:lnTo>
                <a:lnTo>
                  <a:pt x="3" y="51"/>
                </a:lnTo>
                <a:lnTo>
                  <a:pt x="0" y="93"/>
                </a:lnTo>
                <a:lnTo>
                  <a:pt x="30" y="93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05" name="Freeform 1929">
            <a:extLst>
              <a:ext uri="{FF2B5EF4-FFF2-40B4-BE49-F238E27FC236}">
                <a16:creationId xmlns:a16="http://schemas.microsoft.com/office/drawing/2014/main" id="{00000000-0008-0000-0800-000091110300}"/>
              </a:ext>
            </a:extLst>
          </xdr:cNvPr>
          <xdr:cNvSpPr>
            <a:spLocks/>
          </xdr:cNvSpPr>
        </xdr:nvSpPr>
        <xdr:spPr bwMode="auto">
          <a:xfrm>
            <a:off x="1980" y="2397"/>
            <a:ext cx="27" cy="81"/>
          </a:xfrm>
          <a:custGeom>
            <a:avLst/>
            <a:gdLst>
              <a:gd name="T0" fmla="*/ 0 w 27"/>
              <a:gd name="T1" fmla="*/ 0 h 81"/>
              <a:gd name="T2" fmla="*/ 5 w 27"/>
              <a:gd name="T3" fmla="*/ 81 h 81"/>
              <a:gd name="T4" fmla="*/ 27 w 27"/>
              <a:gd name="T5" fmla="*/ 81 h 81"/>
              <a:gd name="T6" fmla="*/ 0 60000 65536"/>
              <a:gd name="T7" fmla="*/ 0 60000 65536"/>
              <a:gd name="T8" fmla="*/ 0 60000 65536"/>
              <a:gd name="T9" fmla="*/ 0 w 27"/>
              <a:gd name="T10" fmla="*/ 0 h 81"/>
              <a:gd name="T11" fmla="*/ 27 w 27"/>
              <a:gd name="T12" fmla="*/ 81 h 8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7" h="81">
                <a:moveTo>
                  <a:pt x="0" y="0"/>
                </a:moveTo>
                <a:lnTo>
                  <a:pt x="5" y="81"/>
                </a:lnTo>
                <a:lnTo>
                  <a:pt x="27" y="81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54" name="Text Box 1930">
            <a:extLst>
              <a:ext uri="{FF2B5EF4-FFF2-40B4-BE49-F238E27FC236}">
                <a16:creationId xmlns:a16="http://schemas.microsoft.com/office/drawing/2014/main" id="{00000000-0008-0000-0800-00008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4" y="2427"/>
            <a:ext cx="289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 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5" name="Text Box 1931">
            <a:extLst>
              <a:ext uri="{FF2B5EF4-FFF2-40B4-BE49-F238E27FC236}">
                <a16:creationId xmlns:a16="http://schemas.microsoft.com/office/drawing/2014/main" id="{00000000-0008-0000-0800-00008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58" y="2255"/>
            <a:ext cx="300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Albuquerque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6" name="Text Box 1932">
            <a:extLst>
              <a:ext uri="{FF2B5EF4-FFF2-40B4-BE49-F238E27FC236}">
                <a16:creationId xmlns:a16="http://schemas.microsoft.com/office/drawing/2014/main" id="{00000000-0008-0000-0800-00008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7" y="2302"/>
            <a:ext cx="300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Los Ranchos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7" name="Text Box 1933">
            <a:extLst>
              <a:ext uri="{FF2B5EF4-FFF2-40B4-BE49-F238E27FC236}">
                <a16:creationId xmlns:a16="http://schemas.microsoft.com/office/drawing/2014/main" id="{00000000-0008-0000-0800-00008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4" y="2261"/>
            <a:ext cx="17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Tijeras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8" name="Text Box 1934">
            <a:extLst>
              <a:ext uri="{FF2B5EF4-FFF2-40B4-BE49-F238E27FC236}">
                <a16:creationId xmlns:a16="http://schemas.microsoft.com/office/drawing/2014/main" id="{00000000-0008-0000-0800-00008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7" y="2486"/>
            <a:ext cx="106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8-T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59" name="Text Box 1935">
            <a:extLst>
              <a:ext uri="{FF2B5EF4-FFF2-40B4-BE49-F238E27FC236}">
                <a16:creationId xmlns:a16="http://schemas.microsoft.com/office/drawing/2014/main" id="{00000000-0008-0000-0800-00008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3" y="2308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12" name="Line 1936">
            <a:extLst>
              <a:ext uri="{FF2B5EF4-FFF2-40B4-BE49-F238E27FC236}">
                <a16:creationId xmlns:a16="http://schemas.microsoft.com/office/drawing/2014/main" id="{00000000-0008-0000-0800-000098110300}"/>
              </a:ext>
            </a:extLst>
          </xdr:cNvPr>
          <xdr:cNvSpPr>
            <a:spLocks noChangeShapeType="1"/>
          </xdr:cNvSpPr>
        </xdr:nvSpPr>
        <xdr:spPr bwMode="auto">
          <a:xfrm>
            <a:off x="1905" y="2358"/>
            <a:ext cx="90" cy="16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13" name="Line 1937">
            <a:extLst>
              <a:ext uri="{FF2B5EF4-FFF2-40B4-BE49-F238E27FC236}">
                <a16:creationId xmlns:a16="http://schemas.microsoft.com/office/drawing/2014/main" id="{00000000-0008-0000-0800-0000991103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62" y="2450"/>
            <a:ext cx="21" cy="67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14" name="Freeform 1938">
            <a:extLst>
              <a:ext uri="{FF2B5EF4-FFF2-40B4-BE49-F238E27FC236}">
                <a16:creationId xmlns:a16="http://schemas.microsoft.com/office/drawing/2014/main" id="{00000000-0008-0000-0800-00009A110300}"/>
              </a:ext>
            </a:extLst>
          </xdr:cNvPr>
          <xdr:cNvSpPr>
            <a:spLocks/>
          </xdr:cNvSpPr>
        </xdr:nvSpPr>
        <xdr:spPr bwMode="auto">
          <a:xfrm>
            <a:off x="1907" y="4227"/>
            <a:ext cx="639" cy="479"/>
          </a:xfrm>
          <a:custGeom>
            <a:avLst/>
            <a:gdLst>
              <a:gd name="T0" fmla="*/ 0 w 639"/>
              <a:gd name="T1" fmla="*/ 0 h 479"/>
              <a:gd name="T2" fmla="*/ 294 w 639"/>
              <a:gd name="T3" fmla="*/ 0 h 479"/>
              <a:gd name="T4" fmla="*/ 294 w 639"/>
              <a:gd name="T5" fmla="*/ 24 h 479"/>
              <a:gd name="T6" fmla="*/ 355 w 639"/>
              <a:gd name="T7" fmla="*/ 24 h 479"/>
              <a:gd name="T8" fmla="*/ 355 w 639"/>
              <a:gd name="T9" fmla="*/ 48 h 479"/>
              <a:gd name="T10" fmla="*/ 355 w 639"/>
              <a:gd name="T11" fmla="*/ 24 h 479"/>
              <a:gd name="T12" fmla="*/ 355 w 639"/>
              <a:gd name="T13" fmla="*/ 158 h 479"/>
              <a:gd name="T14" fmla="*/ 277 w 639"/>
              <a:gd name="T15" fmla="*/ 158 h 479"/>
              <a:gd name="T16" fmla="*/ 277 w 639"/>
              <a:gd name="T17" fmla="*/ 479 h 479"/>
              <a:gd name="T18" fmla="*/ 346 w 639"/>
              <a:gd name="T19" fmla="*/ 479 h 479"/>
              <a:gd name="T20" fmla="*/ 346 w 639"/>
              <a:gd name="T21" fmla="*/ 257 h 479"/>
              <a:gd name="T22" fmla="*/ 426 w 639"/>
              <a:gd name="T23" fmla="*/ 257 h 479"/>
              <a:gd name="T24" fmla="*/ 426 w 639"/>
              <a:gd name="T25" fmla="*/ 188 h 479"/>
              <a:gd name="T26" fmla="*/ 532 w 639"/>
              <a:gd name="T27" fmla="*/ 188 h 479"/>
              <a:gd name="T28" fmla="*/ 544 w 639"/>
              <a:gd name="T29" fmla="*/ 176 h 479"/>
              <a:gd name="T30" fmla="*/ 556 w 639"/>
              <a:gd name="T31" fmla="*/ 156 h 479"/>
              <a:gd name="T32" fmla="*/ 618 w 639"/>
              <a:gd name="T33" fmla="*/ 156 h 479"/>
              <a:gd name="T34" fmla="*/ 621 w 639"/>
              <a:gd name="T35" fmla="*/ 68 h 479"/>
              <a:gd name="T36" fmla="*/ 639 w 639"/>
              <a:gd name="T37" fmla="*/ 68 h 479"/>
              <a:gd name="T38" fmla="*/ 637 w 639"/>
              <a:gd name="T39" fmla="*/ 26 h 479"/>
              <a:gd name="T40" fmla="*/ 348 w 639"/>
              <a:gd name="T41" fmla="*/ 26 h 479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639"/>
              <a:gd name="T64" fmla="*/ 0 h 479"/>
              <a:gd name="T65" fmla="*/ 639 w 639"/>
              <a:gd name="T66" fmla="*/ 479 h 479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639" h="479">
                <a:moveTo>
                  <a:pt x="0" y="0"/>
                </a:moveTo>
                <a:lnTo>
                  <a:pt x="294" y="0"/>
                </a:lnTo>
                <a:lnTo>
                  <a:pt x="294" y="24"/>
                </a:lnTo>
                <a:lnTo>
                  <a:pt x="355" y="24"/>
                </a:lnTo>
                <a:lnTo>
                  <a:pt x="355" y="48"/>
                </a:lnTo>
                <a:lnTo>
                  <a:pt x="355" y="24"/>
                </a:lnTo>
                <a:lnTo>
                  <a:pt x="355" y="158"/>
                </a:lnTo>
                <a:lnTo>
                  <a:pt x="277" y="158"/>
                </a:lnTo>
                <a:lnTo>
                  <a:pt x="277" y="479"/>
                </a:lnTo>
                <a:lnTo>
                  <a:pt x="346" y="479"/>
                </a:lnTo>
                <a:lnTo>
                  <a:pt x="346" y="257"/>
                </a:lnTo>
                <a:lnTo>
                  <a:pt x="426" y="257"/>
                </a:lnTo>
                <a:lnTo>
                  <a:pt x="426" y="188"/>
                </a:lnTo>
                <a:lnTo>
                  <a:pt x="532" y="188"/>
                </a:lnTo>
                <a:lnTo>
                  <a:pt x="544" y="176"/>
                </a:lnTo>
                <a:lnTo>
                  <a:pt x="556" y="156"/>
                </a:lnTo>
                <a:lnTo>
                  <a:pt x="618" y="156"/>
                </a:lnTo>
                <a:lnTo>
                  <a:pt x="621" y="68"/>
                </a:lnTo>
                <a:lnTo>
                  <a:pt x="639" y="68"/>
                </a:lnTo>
                <a:lnTo>
                  <a:pt x="637" y="26"/>
                </a:lnTo>
                <a:lnTo>
                  <a:pt x="348" y="26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63" name="Text Box 1939">
            <a:extLst>
              <a:ext uri="{FF2B5EF4-FFF2-40B4-BE49-F238E27FC236}">
                <a16:creationId xmlns:a16="http://schemas.microsoft.com/office/drawing/2014/main" id="{00000000-0008-0000-0800-00009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5" y="4943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4" name="Text Box 1940">
            <a:extLst>
              <a:ext uri="{FF2B5EF4-FFF2-40B4-BE49-F238E27FC236}">
                <a16:creationId xmlns:a16="http://schemas.microsoft.com/office/drawing/2014/main" id="{00000000-0008-0000-0800-00009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7" y="4391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5" name="Text Box 1941">
            <a:extLst>
              <a:ext uri="{FF2B5EF4-FFF2-40B4-BE49-F238E27FC236}">
                <a16:creationId xmlns:a16="http://schemas.microsoft.com/office/drawing/2014/main" id="{00000000-0008-0000-0800-00009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5" y="3981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6" name="Text Box 1942">
            <a:extLst>
              <a:ext uri="{FF2B5EF4-FFF2-40B4-BE49-F238E27FC236}">
                <a16:creationId xmlns:a16="http://schemas.microsoft.com/office/drawing/2014/main" id="{00000000-0008-0000-0800-00009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8" y="4272"/>
            <a:ext cx="283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Cloudcroft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7" name="Text Box 1943">
            <a:extLst>
              <a:ext uri="{FF2B5EF4-FFF2-40B4-BE49-F238E27FC236}">
                <a16:creationId xmlns:a16="http://schemas.microsoft.com/office/drawing/2014/main" id="{00000000-0008-0000-0800-00009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58" y="4130"/>
            <a:ext cx="236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Tularosa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8" name="Text Box 1944">
            <a:extLst>
              <a:ext uri="{FF2B5EF4-FFF2-40B4-BE49-F238E27FC236}">
                <a16:creationId xmlns:a16="http://schemas.microsoft.com/office/drawing/2014/main" id="{00000000-0008-0000-0800-00009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5" y="4308"/>
            <a:ext cx="34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Alamogordo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69" name="Text Box 1945">
            <a:extLst>
              <a:ext uri="{FF2B5EF4-FFF2-40B4-BE49-F238E27FC236}">
                <a16:creationId xmlns:a16="http://schemas.microsoft.com/office/drawing/2014/main" id="{00000000-0008-0000-0800-00009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4" y="3649"/>
            <a:ext cx="24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Carrizozo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0" name="Text Box 1946">
            <a:extLst>
              <a:ext uri="{FF2B5EF4-FFF2-40B4-BE49-F238E27FC236}">
                <a16:creationId xmlns:a16="http://schemas.microsoft.com/office/drawing/2014/main" id="{00000000-0008-0000-0800-00009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5" y="3655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Capitan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1" name="Text Box 1947">
            <a:extLst>
              <a:ext uri="{FF2B5EF4-FFF2-40B4-BE49-F238E27FC236}">
                <a16:creationId xmlns:a16="http://schemas.microsoft.com/office/drawing/2014/main" id="{00000000-0008-0000-0800-00009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1" y="3898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Ruidoso</a:t>
            </a: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2" name="Text Box 1948">
            <a:extLst>
              <a:ext uri="{FF2B5EF4-FFF2-40B4-BE49-F238E27FC236}">
                <a16:creationId xmlns:a16="http://schemas.microsoft.com/office/drawing/2014/main" id="{00000000-0008-0000-0800-00009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" y="3886"/>
            <a:ext cx="289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Ruidoso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3" name="Text Box 1949">
            <a:extLst>
              <a:ext uri="{FF2B5EF4-FFF2-40B4-BE49-F238E27FC236}">
                <a16:creationId xmlns:a16="http://schemas.microsoft.com/office/drawing/2014/main" id="{00000000-0008-0000-0800-00009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0" y="3453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7-L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4" name="Text Box 1950">
            <a:extLst>
              <a:ext uri="{FF2B5EF4-FFF2-40B4-BE49-F238E27FC236}">
                <a16:creationId xmlns:a16="http://schemas.microsoft.com/office/drawing/2014/main" id="{00000000-0008-0000-0800-00009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4" y="3269"/>
            <a:ext cx="14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13-L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75" name="Text Box 1951">
            <a:extLst>
              <a:ext uri="{FF2B5EF4-FFF2-40B4-BE49-F238E27FC236}">
                <a16:creationId xmlns:a16="http://schemas.microsoft.com/office/drawing/2014/main" id="{00000000-0008-0000-0800-00009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41" y="3934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Downs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28" name="Freeform 1952">
            <a:extLst>
              <a:ext uri="{FF2B5EF4-FFF2-40B4-BE49-F238E27FC236}">
                <a16:creationId xmlns:a16="http://schemas.microsoft.com/office/drawing/2014/main" id="{00000000-0008-0000-0800-0000A8110300}"/>
              </a:ext>
            </a:extLst>
          </xdr:cNvPr>
          <xdr:cNvSpPr>
            <a:spLocks/>
          </xdr:cNvSpPr>
        </xdr:nvSpPr>
        <xdr:spPr bwMode="auto">
          <a:xfrm>
            <a:off x="1790" y="3054"/>
            <a:ext cx="321" cy="156"/>
          </a:xfrm>
          <a:custGeom>
            <a:avLst/>
            <a:gdLst>
              <a:gd name="T0" fmla="*/ 3 w 321"/>
              <a:gd name="T1" fmla="*/ 0 h 156"/>
              <a:gd name="T2" fmla="*/ 0 w 321"/>
              <a:gd name="T3" fmla="*/ 98 h 156"/>
              <a:gd name="T4" fmla="*/ 0 w 321"/>
              <a:gd name="T5" fmla="*/ 155 h 156"/>
              <a:gd name="T6" fmla="*/ 256 w 321"/>
              <a:gd name="T7" fmla="*/ 156 h 156"/>
              <a:gd name="T8" fmla="*/ 256 w 321"/>
              <a:gd name="T9" fmla="*/ 117 h 156"/>
              <a:gd name="T10" fmla="*/ 321 w 321"/>
              <a:gd name="T11" fmla="*/ 119 h 156"/>
              <a:gd name="T12" fmla="*/ 321 w 321"/>
              <a:gd name="T13" fmla="*/ 51 h 156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21"/>
              <a:gd name="T22" fmla="*/ 0 h 156"/>
              <a:gd name="T23" fmla="*/ 321 w 321"/>
              <a:gd name="T24" fmla="*/ 156 h 15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21" h="156">
                <a:moveTo>
                  <a:pt x="3" y="0"/>
                </a:moveTo>
                <a:cubicBezTo>
                  <a:pt x="0" y="16"/>
                  <a:pt x="0" y="73"/>
                  <a:pt x="0" y="98"/>
                </a:cubicBezTo>
                <a:cubicBezTo>
                  <a:pt x="0" y="98"/>
                  <a:pt x="0" y="126"/>
                  <a:pt x="0" y="155"/>
                </a:cubicBezTo>
                <a:cubicBezTo>
                  <a:pt x="128" y="155"/>
                  <a:pt x="256" y="156"/>
                  <a:pt x="256" y="156"/>
                </a:cubicBezTo>
                <a:lnTo>
                  <a:pt x="256" y="117"/>
                </a:lnTo>
                <a:lnTo>
                  <a:pt x="321" y="119"/>
                </a:lnTo>
                <a:lnTo>
                  <a:pt x="321" y="51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29" name="Freeform 1953">
            <a:extLst>
              <a:ext uri="{FF2B5EF4-FFF2-40B4-BE49-F238E27FC236}">
                <a16:creationId xmlns:a16="http://schemas.microsoft.com/office/drawing/2014/main" id="{00000000-0008-0000-0800-0000A9110300}"/>
              </a:ext>
            </a:extLst>
          </xdr:cNvPr>
          <xdr:cNvSpPr>
            <a:spLocks/>
          </xdr:cNvSpPr>
        </xdr:nvSpPr>
        <xdr:spPr bwMode="auto">
          <a:xfrm>
            <a:off x="1908" y="3206"/>
            <a:ext cx="1" cy="445"/>
          </a:xfrm>
          <a:custGeom>
            <a:avLst/>
            <a:gdLst>
              <a:gd name="T0" fmla="*/ 0 w 1"/>
              <a:gd name="T1" fmla="*/ 0 h 445"/>
              <a:gd name="T2" fmla="*/ 0 w 1"/>
              <a:gd name="T3" fmla="*/ 166 h 445"/>
              <a:gd name="T4" fmla="*/ 0 w 1"/>
              <a:gd name="T5" fmla="*/ 445 h 445"/>
              <a:gd name="T6" fmla="*/ 0 60000 65536"/>
              <a:gd name="T7" fmla="*/ 0 60000 65536"/>
              <a:gd name="T8" fmla="*/ 0 60000 65536"/>
              <a:gd name="T9" fmla="*/ 0 w 1"/>
              <a:gd name="T10" fmla="*/ 0 h 445"/>
              <a:gd name="T11" fmla="*/ 1 w 1"/>
              <a:gd name="T12" fmla="*/ 445 h 44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" h="445">
                <a:moveTo>
                  <a:pt x="0" y="0"/>
                </a:moveTo>
                <a:lnTo>
                  <a:pt x="0" y="166"/>
                </a:lnTo>
                <a:lnTo>
                  <a:pt x="0" y="445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30" name="Freeform 1954">
            <a:extLst>
              <a:ext uri="{FF2B5EF4-FFF2-40B4-BE49-F238E27FC236}">
                <a16:creationId xmlns:a16="http://schemas.microsoft.com/office/drawing/2014/main" id="{00000000-0008-0000-0800-0000AA110300}"/>
              </a:ext>
            </a:extLst>
          </xdr:cNvPr>
          <xdr:cNvSpPr>
            <a:spLocks/>
          </xdr:cNvSpPr>
        </xdr:nvSpPr>
        <xdr:spPr bwMode="auto">
          <a:xfrm>
            <a:off x="1908" y="3371"/>
            <a:ext cx="273" cy="1"/>
          </a:xfrm>
          <a:custGeom>
            <a:avLst/>
            <a:gdLst>
              <a:gd name="T0" fmla="*/ 0 w 273"/>
              <a:gd name="T1" fmla="*/ 0 h 1"/>
              <a:gd name="T2" fmla="*/ 273 w 273"/>
              <a:gd name="T3" fmla="*/ 1 h 1"/>
              <a:gd name="T4" fmla="*/ 0 60000 65536"/>
              <a:gd name="T5" fmla="*/ 0 60000 65536"/>
              <a:gd name="T6" fmla="*/ 0 w 273"/>
              <a:gd name="T7" fmla="*/ 0 h 1"/>
              <a:gd name="T8" fmla="*/ 273 w 273"/>
              <a:gd name="T9" fmla="*/ 1 h 1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273" h="1">
                <a:moveTo>
                  <a:pt x="0" y="0"/>
                </a:moveTo>
                <a:lnTo>
                  <a:pt x="273" y="1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31" name="Freeform 1955">
            <a:extLst>
              <a:ext uri="{FF2B5EF4-FFF2-40B4-BE49-F238E27FC236}">
                <a16:creationId xmlns:a16="http://schemas.microsoft.com/office/drawing/2014/main" id="{00000000-0008-0000-0800-0000AB110300}"/>
              </a:ext>
            </a:extLst>
          </xdr:cNvPr>
          <xdr:cNvSpPr>
            <a:spLocks/>
          </xdr:cNvSpPr>
        </xdr:nvSpPr>
        <xdr:spPr bwMode="auto">
          <a:xfrm>
            <a:off x="2184" y="3269"/>
            <a:ext cx="630" cy="157"/>
          </a:xfrm>
          <a:custGeom>
            <a:avLst/>
            <a:gdLst>
              <a:gd name="T0" fmla="*/ 0 w 630"/>
              <a:gd name="T1" fmla="*/ 0 h 157"/>
              <a:gd name="T2" fmla="*/ 152 w 630"/>
              <a:gd name="T3" fmla="*/ 0 h 157"/>
              <a:gd name="T4" fmla="*/ 152 w 630"/>
              <a:gd name="T5" fmla="*/ 43 h 157"/>
              <a:gd name="T6" fmla="*/ 186 w 630"/>
              <a:gd name="T7" fmla="*/ 43 h 157"/>
              <a:gd name="T8" fmla="*/ 186 w 630"/>
              <a:gd name="T9" fmla="*/ 157 h 157"/>
              <a:gd name="T10" fmla="*/ 630 w 630"/>
              <a:gd name="T11" fmla="*/ 154 h 15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30"/>
              <a:gd name="T19" fmla="*/ 0 h 157"/>
              <a:gd name="T20" fmla="*/ 630 w 630"/>
              <a:gd name="T21" fmla="*/ 157 h 15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30" h="157">
                <a:moveTo>
                  <a:pt x="0" y="0"/>
                </a:moveTo>
                <a:lnTo>
                  <a:pt x="152" y="0"/>
                </a:lnTo>
                <a:lnTo>
                  <a:pt x="152" y="43"/>
                </a:lnTo>
                <a:lnTo>
                  <a:pt x="186" y="43"/>
                </a:lnTo>
                <a:lnTo>
                  <a:pt x="186" y="157"/>
                </a:lnTo>
                <a:lnTo>
                  <a:pt x="630" y="15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80" name="Text Box 1956">
            <a:extLst>
              <a:ext uri="{FF2B5EF4-FFF2-40B4-BE49-F238E27FC236}">
                <a16:creationId xmlns:a16="http://schemas.microsoft.com/office/drawing/2014/main" id="{00000000-0008-0000-0800-0000A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7" y="3513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7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1" name="Text Box 1957">
            <a:extLst>
              <a:ext uri="{FF2B5EF4-FFF2-40B4-BE49-F238E27FC236}">
                <a16:creationId xmlns:a16="http://schemas.microsoft.com/office/drawing/2014/main" id="{00000000-0008-0000-0800-0000A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4" y="3732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2" name="Text Box 1958">
            <a:extLst>
              <a:ext uri="{FF2B5EF4-FFF2-40B4-BE49-F238E27FC236}">
                <a16:creationId xmlns:a16="http://schemas.microsoft.com/office/drawing/2014/main" id="{00000000-0008-0000-0800-0000A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29" y="3845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3" name="Text Box 1959">
            <a:extLst>
              <a:ext uri="{FF2B5EF4-FFF2-40B4-BE49-F238E27FC236}">
                <a16:creationId xmlns:a16="http://schemas.microsoft.com/office/drawing/2014/main" id="{00000000-0008-0000-0800-0000A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8" y="3697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4" name="Text Box 1960">
            <a:extLst>
              <a:ext uri="{FF2B5EF4-FFF2-40B4-BE49-F238E27FC236}">
                <a16:creationId xmlns:a16="http://schemas.microsoft.com/office/drawing/2014/main" id="{00000000-0008-0000-0800-0000A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70" y="3133"/>
            <a:ext cx="24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Corona  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5" name="Text Box 1961">
            <a:extLst>
              <a:ext uri="{FF2B5EF4-FFF2-40B4-BE49-F238E27FC236}">
                <a16:creationId xmlns:a16="http://schemas.microsoft.com/office/drawing/2014/main" id="{00000000-0008-0000-0800-0000A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3" y="2908"/>
            <a:ext cx="253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Mountainair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86" name="Text Box 1962">
            <a:extLst>
              <a:ext uri="{FF2B5EF4-FFF2-40B4-BE49-F238E27FC236}">
                <a16:creationId xmlns:a16="http://schemas.microsoft.com/office/drawing/2014/main" id="{00000000-0008-0000-0800-0000A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58" y="2783"/>
            <a:ext cx="412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39" name="Freeform 1963">
            <a:extLst>
              <a:ext uri="{FF2B5EF4-FFF2-40B4-BE49-F238E27FC236}">
                <a16:creationId xmlns:a16="http://schemas.microsoft.com/office/drawing/2014/main" id="{00000000-0008-0000-0800-0000B3110300}"/>
              </a:ext>
            </a:extLst>
          </xdr:cNvPr>
          <xdr:cNvSpPr>
            <a:spLocks/>
          </xdr:cNvSpPr>
        </xdr:nvSpPr>
        <xdr:spPr bwMode="auto">
          <a:xfrm>
            <a:off x="1868" y="2705"/>
            <a:ext cx="301" cy="400"/>
          </a:xfrm>
          <a:custGeom>
            <a:avLst/>
            <a:gdLst>
              <a:gd name="T0" fmla="*/ 0 w 301"/>
              <a:gd name="T1" fmla="*/ 0 h 400"/>
              <a:gd name="T2" fmla="*/ 141 w 301"/>
              <a:gd name="T3" fmla="*/ 0 h 400"/>
              <a:gd name="T4" fmla="*/ 141 w 301"/>
              <a:gd name="T5" fmla="*/ 28 h 400"/>
              <a:gd name="T6" fmla="*/ 202 w 301"/>
              <a:gd name="T7" fmla="*/ 28 h 400"/>
              <a:gd name="T8" fmla="*/ 202 w 301"/>
              <a:gd name="T9" fmla="*/ 54 h 400"/>
              <a:gd name="T10" fmla="*/ 232 w 301"/>
              <a:gd name="T11" fmla="*/ 54 h 400"/>
              <a:gd name="T12" fmla="*/ 232 w 301"/>
              <a:gd name="T13" fmla="*/ 142 h 400"/>
              <a:gd name="T14" fmla="*/ 262 w 301"/>
              <a:gd name="T15" fmla="*/ 139 h 400"/>
              <a:gd name="T16" fmla="*/ 262 w 301"/>
              <a:gd name="T17" fmla="*/ 190 h 400"/>
              <a:gd name="T18" fmla="*/ 286 w 301"/>
              <a:gd name="T19" fmla="*/ 184 h 400"/>
              <a:gd name="T20" fmla="*/ 301 w 301"/>
              <a:gd name="T21" fmla="*/ 201 h 400"/>
              <a:gd name="T22" fmla="*/ 301 w 301"/>
              <a:gd name="T23" fmla="*/ 400 h 400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301"/>
              <a:gd name="T37" fmla="*/ 0 h 400"/>
              <a:gd name="T38" fmla="*/ 301 w 301"/>
              <a:gd name="T39" fmla="*/ 400 h 4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301" h="400">
                <a:moveTo>
                  <a:pt x="0" y="0"/>
                </a:moveTo>
                <a:lnTo>
                  <a:pt x="141" y="0"/>
                </a:lnTo>
                <a:lnTo>
                  <a:pt x="141" y="28"/>
                </a:lnTo>
                <a:lnTo>
                  <a:pt x="202" y="28"/>
                </a:lnTo>
                <a:lnTo>
                  <a:pt x="202" y="54"/>
                </a:lnTo>
                <a:lnTo>
                  <a:pt x="232" y="54"/>
                </a:lnTo>
                <a:lnTo>
                  <a:pt x="232" y="142"/>
                </a:lnTo>
                <a:lnTo>
                  <a:pt x="262" y="139"/>
                </a:lnTo>
                <a:lnTo>
                  <a:pt x="262" y="190"/>
                </a:lnTo>
                <a:lnTo>
                  <a:pt x="286" y="184"/>
                </a:lnTo>
                <a:lnTo>
                  <a:pt x="301" y="201"/>
                </a:lnTo>
                <a:lnTo>
                  <a:pt x="301" y="40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40" name="Freeform 1964">
            <a:extLst>
              <a:ext uri="{FF2B5EF4-FFF2-40B4-BE49-F238E27FC236}">
                <a16:creationId xmlns:a16="http://schemas.microsoft.com/office/drawing/2014/main" id="{00000000-0008-0000-0800-0000B4110300}"/>
              </a:ext>
            </a:extLst>
          </xdr:cNvPr>
          <xdr:cNvSpPr>
            <a:spLocks/>
          </xdr:cNvSpPr>
        </xdr:nvSpPr>
        <xdr:spPr bwMode="auto">
          <a:xfrm>
            <a:off x="2058" y="2400"/>
            <a:ext cx="467" cy="168"/>
          </a:xfrm>
          <a:custGeom>
            <a:avLst/>
            <a:gdLst>
              <a:gd name="T0" fmla="*/ 467 w 467"/>
              <a:gd name="T1" fmla="*/ 0 h 168"/>
              <a:gd name="T2" fmla="*/ 467 w 467"/>
              <a:gd name="T3" fmla="*/ 68 h 168"/>
              <a:gd name="T4" fmla="*/ 393 w 467"/>
              <a:gd name="T5" fmla="*/ 68 h 168"/>
              <a:gd name="T6" fmla="*/ 393 w 467"/>
              <a:gd name="T7" fmla="*/ 168 h 168"/>
              <a:gd name="T8" fmla="*/ 75 w 467"/>
              <a:gd name="T9" fmla="*/ 168 h 168"/>
              <a:gd name="T10" fmla="*/ 75 w 467"/>
              <a:gd name="T11" fmla="*/ 135 h 168"/>
              <a:gd name="T12" fmla="*/ 0 w 467"/>
              <a:gd name="T13" fmla="*/ 135 h 168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467"/>
              <a:gd name="T22" fmla="*/ 0 h 168"/>
              <a:gd name="T23" fmla="*/ 467 w 467"/>
              <a:gd name="T24" fmla="*/ 168 h 168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467" h="168">
                <a:moveTo>
                  <a:pt x="467" y="0"/>
                </a:moveTo>
                <a:lnTo>
                  <a:pt x="467" y="68"/>
                </a:lnTo>
                <a:lnTo>
                  <a:pt x="393" y="68"/>
                </a:lnTo>
                <a:lnTo>
                  <a:pt x="393" y="168"/>
                </a:lnTo>
                <a:lnTo>
                  <a:pt x="75" y="168"/>
                </a:lnTo>
                <a:lnTo>
                  <a:pt x="75" y="135"/>
                </a:lnTo>
                <a:lnTo>
                  <a:pt x="0" y="135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41" name="Freeform 1965">
            <a:extLst>
              <a:ext uri="{FF2B5EF4-FFF2-40B4-BE49-F238E27FC236}">
                <a16:creationId xmlns:a16="http://schemas.microsoft.com/office/drawing/2014/main" id="{00000000-0008-0000-0800-0000B5110300}"/>
              </a:ext>
            </a:extLst>
          </xdr:cNvPr>
          <xdr:cNvSpPr>
            <a:spLocks/>
          </xdr:cNvSpPr>
        </xdr:nvSpPr>
        <xdr:spPr bwMode="auto">
          <a:xfrm>
            <a:off x="2256" y="2571"/>
            <a:ext cx="102" cy="537"/>
          </a:xfrm>
          <a:custGeom>
            <a:avLst/>
            <a:gdLst>
              <a:gd name="T0" fmla="*/ 102 w 102"/>
              <a:gd name="T1" fmla="*/ 0 h 537"/>
              <a:gd name="T2" fmla="*/ 102 w 102"/>
              <a:gd name="T3" fmla="*/ 290 h 537"/>
              <a:gd name="T4" fmla="*/ 0 w 102"/>
              <a:gd name="T5" fmla="*/ 290 h 537"/>
              <a:gd name="T6" fmla="*/ 0 w 102"/>
              <a:gd name="T7" fmla="*/ 537 h 537"/>
              <a:gd name="T8" fmla="*/ 0 60000 65536"/>
              <a:gd name="T9" fmla="*/ 0 60000 65536"/>
              <a:gd name="T10" fmla="*/ 0 60000 65536"/>
              <a:gd name="T11" fmla="*/ 0 60000 65536"/>
              <a:gd name="T12" fmla="*/ 0 w 102"/>
              <a:gd name="T13" fmla="*/ 0 h 537"/>
              <a:gd name="T14" fmla="*/ 102 w 102"/>
              <a:gd name="T15" fmla="*/ 537 h 53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02" h="537">
                <a:moveTo>
                  <a:pt x="102" y="0"/>
                </a:moveTo>
                <a:lnTo>
                  <a:pt x="102" y="290"/>
                </a:lnTo>
                <a:lnTo>
                  <a:pt x="0" y="290"/>
                </a:lnTo>
                <a:lnTo>
                  <a:pt x="0" y="537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42" name="Freeform 1966">
            <a:extLst>
              <a:ext uri="{FF2B5EF4-FFF2-40B4-BE49-F238E27FC236}">
                <a16:creationId xmlns:a16="http://schemas.microsoft.com/office/drawing/2014/main" id="{00000000-0008-0000-0800-0000B6110300}"/>
              </a:ext>
            </a:extLst>
          </xdr:cNvPr>
          <xdr:cNvSpPr>
            <a:spLocks/>
          </xdr:cNvSpPr>
        </xdr:nvSpPr>
        <xdr:spPr bwMode="auto">
          <a:xfrm>
            <a:off x="2255" y="2937"/>
            <a:ext cx="304" cy="39"/>
          </a:xfrm>
          <a:custGeom>
            <a:avLst/>
            <a:gdLst>
              <a:gd name="T0" fmla="*/ 0 w 304"/>
              <a:gd name="T1" fmla="*/ 0 h 39"/>
              <a:gd name="T2" fmla="*/ 100 w 304"/>
              <a:gd name="T3" fmla="*/ 0 h 39"/>
              <a:gd name="T4" fmla="*/ 109 w 304"/>
              <a:gd name="T5" fmla="*/ 24 h 39"/>
              <a:gd name="T6" fmla="*/ 145 w 304"/>
              <a:gd name="T7" fmla="*/ 39 h 39"/>
              <a:gd name="T8" fmla="*/ 304 w 304"/>
              <a:gd name="T9" fmla="*/ 39 h 3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04"/>
              <a:gd name="T16" fmla="*/ 0 h 39"/>
              <a:gd name="T17" fmla="*/ 304 w 304"/>
              <a:gd name="T18" fmla="*/ 39 h 3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04" h="39">
                <a:moveTo>
                  <a:pt x="0" y="0"/>
                </a:moveTo>
                <a:lnTo>
                  <a:pt x="100" y="0"/>
                </a:lnTo>
                <a:lnTo>
                  <a:pt x="109" y="24"/>
                </a:lnTo>
                <a:lnTo>
                  <a:pt x="145" y="39"/>
                </a:lnTo>
                <a:lnTo>
                  <a:pt x="304" y="3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91" name="Text Box 1967">
            <a:extLst>
              <a:ext uri="{FF2B5EF4-FFF2-40B4-BE49-F238E27FC236}">
                <a16:creationId xmlns:a16="http://schemas.microsoft.com/office/drawing/2014/main" id="{00000000-0008-0000-0800-0000A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58" y="2593"/>
            <a:ext cx="1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Belen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2" name="Text Box 1968">
            <a:extLst>
              <a:ext uri="{FF2B5EF4-FFF2-40B4-BE49-F238E27FC236}">
                <a16:creationId xmlns:a16="http://schemas.microsoft.com/office/drawing/2014/main" id="{00000000-0008-0000-0800-0000B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46" y="2593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3" name="Text Box 1969">
            <a:extLst>
              <a:ext uri="{FF2B5EF4-FFF2-40B4-BE49-F238E27FC236}">
                <a16:creationId xmlns:a16="http://schemas.microsoft.com/office/drawing/2014/main" id="{00000000-0008-0000-0800-0000B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81" y="2546"/>
            <a:ext cx="17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Bosque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4" name="Text Box 1970">
            <a:extLst>
              <a:ext uri="{FF2B5EF4-FFF2-40B4-BE49-F238E27FC236}">
                <a16:creationId xmlns:a16="http://schemas.microsoft.com/office/drawing/2014/main" id="{00000000-0008-0000-0800-0000B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9" y="2605"/>
            <a:ext cx="15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Farms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5" name="Text Box 1971">
            <a:extLst>
              <a:ext uri="{FF2B5EF4-FFF2-40B4-BE49-F238E27FC236}">
                <a16:creationId xmlns:a16="http://schemas.microsoft.com/office/drawing/2014/main" id="{00000000-0008-0000-0800-0000B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2" y="2540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Los Lunas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48" name="Freeform 1972">
            <a:extLst>
              <a:ext uri="{FF2B5EF4-FFF2-40B4-BE49-F238E27FC236}">
                <a16:creationId xmlns:a16="http://schemas.microsoft.com/office/drawing/2014/main" id="{00000000-0008-0000-0800-0000BC110300}"/>
              </a:ext>
            </a:extLst>
          </xdr:cNvPr>
          <xdr:cNvSpPr>
            <a:spLocks/>
          </xdr:cNvSpPr>
        </xdr:nvSpPr>
        <xdr:spPr bwMode="auto">
          <a:xfrm>
            <a:off x="1575" y="2670"/>
            <a:ext cx="291" cy="132"/>
          </a:xfrm>
          <a:custGeom>
            <a:avLst/>
            <a:gdLst>
              <a:gd name="T0" fmla="*/ 0 w 291"/>
              <a:gd name="T1" fmla="*/ 132 h 132"/>
              <a:gd name="T2" fmla="*/ 0 w 291"/>
              <a:gd name="T3" fmla="*/ 18 h 132"/>
              <a:gd name="T4" fmla="*/ 105 w 291"/>
              <a:gd name="T5" fmla="*/ 21 h 132"/>
              <a:gd name="T6" fmla="*/ 114 w 291"/>
              <a:gd name="T7" fmla="*/ 0 h 132"/>
              <a:gd name="T8" fmla="*/ 141 w 291"/>
              <a:gd name="T9" fmla="*/ 30 h 132"/>
              <a:gd name="T10" fmla="*/ 291 w 291"/>
              <a:gd name="T11" fmla="*/ 30 h 132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91"/>
              <a:gd name="T19" fmla="*/ 0 h 132"/>
              <a:gd name="T20" fmla="*/ 291 w 291"/>
              <a:gd name="T21" fmla="*/ 132 h 132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91" h="132">
                <a:moveTo>
                  <a:pt x="0" y="132"/>
                </a:moveTo>
                <a:lnTo>
                  <a:pt x="0" y="18"/>
                </a:lnTo>
                <a:lnTo>
                  <a:pt x="105" y="21"/>
                </a:lnTo>
                <a:lnTo>
                  <a:pt x="114" y="0"/>
                </a:lnTo>
                <a:lnTo>
                  <a:pt x="141" y="30"/>
                </a:lnTo>
                <a:lnTo>
                  <a:pt x="291" y="3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97" name="Text Box 1973">
            <a:extLst>
              <a:ext uri="{FF2B5EF4-FFF2-40B4-BE49-F238E27FC236}">
                <a16:creationId xmlns:a16="http://schemas.microsoft.com/office/drawing/2014/main" id="{00000000-0008-0000-0800-0000B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0" y="2593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Estancia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8" name="Text Box 1974">
            <a:extLst>
              <a:ext uri="{FF2B5EF4-FFF2-40B4-BE49-F238E27FC236}">
                <a16:creationId xmlns:a16="http://schemas.microsoft.com/office/drawing/2014/main" id="{00000000-0008-0000-0800-0000B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4" y="2688"/>
            <a:ext cx="18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Willard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599" name="Text Box 1975">
            <a:extLst>
              <a:ext uri="{FF2B5EF4-FFF2-40B4-BE49-F238E27FC236}">
                <a16:creationId xmlns:a16="http://schemas.microsoft.com/office/drawing/2014/main" id="{00000000-0008-0000-0800-0000B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3" y="2736"/>
            <a:ext cx="17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Encino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00" name="Text Box 1976">
            <a:extLst>
              <a:ext uri="{FF2B5EF4-FFF2-40B4-BE49-F238E27FC236}">
                <a16:creationId xmlns:a16="http://schemas.microsoft.com/office/drawing/2014/main" id="{00000000-0008-0000-0800-0000B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00" y="2700"/>
            <a:ext cx="18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Vaughn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01" name="Text Box 1977">
            <a:extLst>
              <a:ext uri="{FF2B5EF4-FFF2-40B4-BE49-F238E27FC236}">
                <a16:creationId xmlns:a16="http://schemas.microsoft.com/office/drawing/2014/main" id="{00000000-0008-0000-0800-0000B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8" y="2498"/>
            <a:ext cx="330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Santa Rosa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54" name="Freeform 1978">
            <a:extLst>
              <a:ext uri="{FF2B5EF4-FFF2-40B4-BE49-F238E27FC236}">
                <a16:creationId xmlns:a16="http://schemas.microsoft.com/office/drawing/2014/main" id="{00000000-0008-0000-0800-0000C2110300}"/>
              </a:ext>
            </a:extLst>
          </xdr:cNvPr>
          <xdr:cNvSpPr>
            <a:spLocks/>
          </xdr:cNvSpPr>
        </xdr:nvSpPr>
        <xdr:spPr bwMode="auto">
          <a:xfrm>
            <a:off x="2592" y="2640"/>
            <a:ext cx="240" cy="144"/>
          </a:xfrm>
          <a:custGeom>
            <a:avLst/>
            <a:gdLst>
              <a:gd name="T0" fmla="*/ 0 w 240"/>
              <a:gd name="T1" fmla="*/ 0 h 144"/>
              <a:gd name="T2" fmla="*/ 240 w 240"/>
              <a:gd name="T3" fmla="*/ 0 h 144"/>
              <a:gd name="T4" fmla="*/ 240 w 240"/>
              <a:gd name="T5" fmla="*/ 144 h 144"/>
              <a:gd name="T6" fmla="*/ 0 60000 65536"/>
              <a:gd name="T7" fmla="*/ 0 60000 65536"/>
              <a:gd name="T8" fmla="*/ 0 60000 65536"/>
              <a:gd name="T9" fmla="*/ 0 w 240"/>
              <a:gd name="T10" fmla="*/ 0 h 144"/>
              <a:gd name="T11" fmla="*/ 240 w 240"/>
              <a:gd name="T12" fmla="*/ 144 h 144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40" h="144">
                <a:moveTo>
                  <a:pt x="0" y="0"/>
                </a:moveTo>
                <a:lnTo>
                  <a:pt x="240" y="0"/>
                </a:lnTo>
                <a:lnTo>
                  <a:pt x="240" y="144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  <xdr:sp macro="" textlink="">
        <xdr:nvSpPr>
          <xdr:cNvPr id="201155" name="Freeform 1979">
            <a:extLst>
              <a:ext uri="{FF2B5EF4-FFF2-40B4-BE49-F238E27FC236}">
                <a16:creationId xmlns:a16="http://schemas.microsoft.com/office/drawing/2014/main" id="{00000000-0008-0000-0800-0000C3110300}"/>
              </a:ext>
            </a:extLst>
          </xdr:cNvPr>
          <xdr:cNvSpPr>
            <a:spLocks/>
          </xdr:cNvSpPr>
        </xdr:nvSpPr>
        <xdr:spPr bwMode="auto">
          <a:xfrm>
            <a:off x="2576" y="2639"/>
            <a:ext cx="258" cy="172"/>
          </a:xfrm>
          <a:custGeom>
            <a:avLst/>
            <a:gdLst>
              <a:gd name="T0" fmla="*/ 0 w 258"/>
              <a:gd name="T1" fmla="*/ 0 h 172"/>
              <a:gd name="T2" fmla="*/ 258 w 258"/>
              <a:gd name="T3" fmla="*/ 0 h 172"/>
              <a:gd name="T4" fmla="*/ 258 w 258"/>
              <a:gd name="T5" fmla="*/ 172 h 172"/>
              <a:gd name="T6" fmla="*/ 0 60000 65536"/>
              <a:gd name="T7" fmla="*/ 0 60000 65536"/>
              <a:gd name="T8" fmla="*/ 0 60000 65536"/>
              <a:gd name="T9" fmla="*/ 0 w 258"/>
              <a:gd name="T10" fmla="*/ 0 h 172"/>
              <a:gd name="T11" fmla="*/ 258 w 258"/>
              <a:gd name="T12" fmla="*/ 172 h 17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8" h="172">
                <a:moveTo>
                  <a:pt x="0" y="0"/>
                </a:moveTo>
                <a:lnTo>
                  <a:pt x="258" y="0"/>
                </a:lnTo>
                <a:lnTo>
                  <a:pt x="258" y="17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56" name="Freeform 1980">
            <a:extLst>
              <a:ext uri="{FF2B5EF4-FFF2-40B4-BE49-F238E27FC236}">
                <a16:creationId xmlns:a16="http://schemas.microsoft.com/office/drawing/2014/main" id="{00000000-0008-0000-0800-0000C4110300}"/>
              </a:ext>
            </a:extLst>
          </xdr:cNvPr>
          <xdr:cNvSpPr>
            <a:spLocks/>
          </xdr:cNvSpPr>
        </xdr:nvSpPr>
        <xdr:spPr bwMode="auto">
          <a:xfrm>
            <a:off x="2012" y="1695"/>
            <a:ext cx="310" cy="108"/>
          </a:xfrm>
          <a:custGeom>
            <a:avLst/>
            <a:gdLst>
              <a:gd name="T0" fmla="*/ 0 w 310"/>
              <a:gd name="T1" fmla="*/ 108 h 108"/>
              <a:gd name="T2" fmla="*/ 163 w 310"/>
              <a:gd name="T3" fmla="*/ 108 h 108"/>
              <a:gd name="T4" fmla="*/ 163 w 310"/>
              <a:gd name="T5" fmla="*/ 0 h 108"/>
              <a:gd name="T6" fmla="*/ 310 w 310"/>
              <a:gd name="T7" fmla="*/ 0 h 108"/>
              <a:gd name="T8" fmla="*/ 0 60000 65536"/>
              <a:gd name="T9" fmla="*/ 0 60000 65536"/>
              <a:gd name="T10" fmla="*/ 0 60000 65536"/>
              <a:gd name="T11" fmla="*/ 0 60000 65536"/>
              <a:gd name="T12" fmla="*/ 0 w 310"/>
              <a:gd name="T13" fmla="*/ 0 h 108"/>
              <a:gd name="T14" fmla="*/ 310 w 310"/>
              <a:gd name="T15" fmla="*/ 108 h 10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10" h="108">
                <a:moveTo>
                  <a:pt x="0" y="108"/>
                </a:moveTo>
                <a:lnTo>
                  <a:pt x="163" y="108"/>
                </a:lnTo>
                <a:lnTo>
                  <a:pt x="163" y="0"/>
                </a:lnTo>
                <a:lnTo>
                  <a:pt x="310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57" name="Freeform 1981">
            <a:extLst>
              <a:ext uri="{FF2B5EF4-FFF2-40B4-BE49-F238E27FC236}">
                <a16:creationId xmlns:a16="http://schemas.microsoft.com/office/drawing/2014/main" id="{00000000-0008-0000-0800-0000C5110300}"/>
              </a:ext>
            </a:extLst>
          </xdr:cNvPr>
          <xdr:cNvSpPr>
            <a:spLocks/>
          </xdr:cNvSpPr>
        </xdr:nvSpPr>
        <xdr:spPr bwMode="auto">
          <a:xfrm>
            <a:off x="2331" y="1665"/>
            <a:ext cx="126" cy="468"/>
          </a:xfrm>
          <a:custGeom>
            <a:avLst/>
            <a:gdLst>
              <a:gd name="T0" fmla="*/ 0 w 126"/>
              <a:gd name="T1" fmla="*/ 339 h 468"/>
              <a:gd name="T2" fmla="*/ 15 w 126"/>
              <a:gd name="T3" fmla="*/ 360 h 468"/>
              <a:gd name="T4" fmla="*/ 21 w 126"/>
              <a:gd name="T5" fmla="*/ 378 h 468"/>
              <a:gd name="T6" fmla="*/ 36 w 126"/>
              <a:gd name="T7" fmla="*/ 390 h 468"/>
              <a:gd name="T8" fmla="*/ 51 w 126"/>
              <a:gd name="T9" fmla="*/ 408 h 468"/>
              <a:gd name="T10" fmla="*/ 72 w 126"/>
              <a:gd name="T11" fmla="*/ 423 h 468"/>
              <a:gd name="T12" fmla="*/ 105 w 126"/>
              <a:gd name="T13" fmla="*/ 468 h 468"/>
              <a:gd name="T14" fmla="*/ 126 w 126"/>
              <a:gd name="T15" fmla="*/ 420 h 468"/>
              <a:gd name="T16" fmla="*/ 126 w 126"/>
              <a:gd name="T17" fmla="*/ 291 h 468"/>
              <a:gd name="T18" fmla="*/ 111 w 126"/>
              <a:gd name="T19" fmla="*/ 273 h 468"/>
              <a:gd name="T20" fmla="*/ 111 w 126"/>
              <a:gd name="T21" fmla="*/ 0 h 468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126"/>
              <a:gd name="T34" fmla="*/ 0 h 468"/>
              <a:gd name="T35" fmla="*/ 126 w 126"/>
              <a:gd name="T36" fmla="*/ 468 h 468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126" h="468">
                <a:moveTo>
                  <a:pt x="0" y="339"/>
                </a:moveTo>
                <a:cubicBezTo>
                  <a:pt x="10" y="346"/>
                  <a:pt x="10" y="350"/>
                  <a:pt x="15" y="360"/>
                </a:cubicBezTo>
                <a:lnTo>
                  <a:pt x="21" y="378"/>
                </a:lnTo>
                <a:lnTo>
                  <a:pt x="36" y="390"/>
                </a:lnTo>
                <a:lnTo>
                  <a:pt x="51" y="408"/>
                </a:lnTo>
                <a:lnTo>
                  <a:pt x="72" y="423"/>
                </a:lnTo>
                <a:lnTo>
                  <a:pt x="105" y="468"/>
                </a:lnTo>
                <a:lnTo>
                  <a:pt x="126" y="420"/>
                </a:lnTo>
                <a:lnTo>
                  <a:pt x="126" y="291"/>
                </a:lnTo>
                <a:lnTo>
                  <a:pt x="111" y="273"/>
                </a:lnTo>
                <a:lnTo>
                  <a:pt x="111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58" name="Freeform 1982">
            <a:extLst>
              <a:ext uri="{FF2B5EF4-FFF2-40B4-BE49-F238E27FC236}">
                <a16:creationId xmlns:a16="http://schemas.microsoft.com/office/drawing/2014/main" id="{00000000-0008-0000-0800-0000C6110300}"/>
              </a:ext>
            </a:extLst>
          </xdr:cNvPr>
          <xdr:cNvSpPr>
            <a:spLocks/>
          </xdr:cNvSpPr>
        </xdr:nvSpPr>
        <xdr:spPr bwMode="auto">
          <a:xfrm>
            <a:off x="2448" y="1824"/>
            <a:ext cx="336" cy="256"/>
          </a:xfrm>
          <a:custGeom>
            <a:avLst/>
            <a:gdLst>
              <a:gd name="T0" fmla="*/ 0 w 336"/>
              <a:gd name="T1" fmla="*/ 0 h 256"/>
              <a:gd name="T2" fmla="*/ 42 w 336"/>
              <a:gd name="T3" fmla="*/ 5 h 256"/>
              <a:gd name="T4" fmla="*/ 54 w 336"/>
              <a:gd name="T5" fmla="*/ 29 h 256"/>
              <a:gd name="T6" fmla="*/ 72 w 336"/>
              <a:gd name="T7" fmla="*/ 23 h 256"/>
              <a:gd name="T8" fmla="*/ 76 w 336"/>
              <a:gd name="T9" fmla="*/ 44 h 256"/>
              <a:gd name="T10" fmla="*/ 93 w 336"/>
              <a:gd name="T11" fmla="*/ 35 h 256"/>
              <a:gd name="T12" fmla="*/ 120 w 336"/>
              <a:gd name="T13" fmla="*/ 32 h 256"/>
              <a:gd name="T14" fmla="*/ 123 w 336"/>
              <a:gd name="T15" fmla="*/ 53 h 256"/>
              <a:gd name="T16" fmla="*/ 162 w 336"/>
              <a:gd name="T17" fmla="*/ 54 h 256"/>
              <a:gd name="T18" fmla="*/ 180 w 336"/>
              <a:gd name="T19" fmla="*/ 98 h 256"/>
              <a:gd name="T20" fmla="*/ 180 w 336"/>
              <a:gd name="T21" fmla="*/ 136 h 256"/>
              <a:gd name="T22" fmla="*/ 228 w 336"/>
              <a:gd name="T23" fmla="*/ 256 h 256"/>
              <a:gd name="T24" fmla="*/ 308 w 336"/>
              <a:gd name="T25" fmla="*/ 238 h 256"/>
              <a:gd name="T26" fmla="*/ 336 w 336"/>
              <a:gd name="T27" fmla="*/ 256 h 25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336"/>
              <a:gd name="T43" fmla="*/ 0 h 256"/>
              <a:gd name="T44" fmla="*/ 336 w 336"/>
              <a:gd name="T45" fmla="*/ 256 h 25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336" h="256">
                <a:moveTo>
                  <a:pt x="0" y="0"/>
                </a:moveTo>
                <a:lnTo>
                  <a:pt x="42" y="5"/>
                </a:lnTo>
                <a:lnTo>
                  <a:pt x="54" y="29"/>
                </a:lnTo>
                <a:lnTo>
                  <a:pt x="72" y="23"/>
                </a:lnTo>
                <a:lnTo>
                  <a:pt x="76" y="44"/>
                </a:lnTo>
                <a:lnTo>
                  <a:pt x="93" y="35"/>
                </a:lnTo>
                <a:lnTo>
                  <a:pt x="120" y="32"/>
                </a:lnTo>
                <a:lnTo>
                  <a:pt x="123" y="53"/>
                </a:lnTo>
                <a:lnTo>
                  <a:pt x="162" y="54"/>
                </a:lnTo>
                <a:lnTo>
                  <a:pt x="180" y="98"/>
                </a:lnTo>
                <a:lnTo>
                  <a:pt x="180" y="136"/>
                </a:lnTo>
                <a:lnTo>
                  <a:pt x="228" y="256"/>
                </a:lnTo>
                <a:lnTo>
                  <a:pt x="308" y="238"/>
                </a:lnTo>
                <a:lnTo>
                  <a:pt x="336" y="256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59" name="Freeform 1983">
            <a:extLst>
              <a:ext uri="{FF2B5EF4-FFF2-40B4-BE49-F238E27FC236}">
                <a16:creationId xmlns:a16="http://schemas.microsoft.com/office/drawing/2014/main" id="{00000000-0008-0000-0800-0000C7110300}"/>
              </a:ext>
            </a:extLst>
          </xdr:cNvPr>
          <xdr:cNvSpPr>
            <a:spLocks/>
          </xdr:cNvSpPr>
        </xdr:nvSpPr>
        <xdr:spPr bwMode="auto">
          <a:xfrm>
            <a:off x="2985" y="1728"/>
            <a:ext cx="327" cy="274"/>
          </a:xfrm>
          <a:custGeom>
            <a:avLst/>
            <a:gdLst>
              <a:gd name="T0" fmla="*/ 15 w 327"/>
              <a:gd name="T1" fmla="*/ 274 h 274"/>
              <a:gd name="T2" fmla="*/ 0 w 327"/>
              <a:gd name="T3" fmla="*/ 164 h 274"/>
              <a:gd name="T4" fmla="*/ 69 w 327"/>
              <a:gd name="T5" fmla="*/ 86 h 274"/>
              <a:gd name="T6" fmla="*/ 69 w 327"/>
              <a:gd name="T7" fmla="*/ 116 h 274"/>
              <a:gd name="T8" fmla="*/ 108 w 327"/>
              <a:gd name="T9" fmla="*/ 113 h 274"/>
              <a:gd name="T10" fmla="*/ 123 w 327"/>
              <a:gd name="T11" fmla="*/ 137 h 274"/>
              <a:gd name="T12" fmla="*/ 327 w 327"/>
              <a:gd name="T13" fmla="*/ 0 h 27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27"/>
              <a:gd name="T22" fmla="*/ 0 h 274"/>
              <a:gd name="T23" fmla="*/ 327 w 327"/>
              <a:gd name="T24" fmla="*/ 274 h 27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27" h="274">
                <a:moveTo>
                  <a:pt x="15" y="274"/>
                </a:moveTo>
                <a:lnTo>
                  <a:pt x="0" y="164"/>
                </a:lnTo>
                <a:lnTo>
                  <a:pt x="69" y="86"/>
                </a:lnTo>
                <a:lnTo>
                  <a:pt x="69" y="116"/>
                </a:lnTo>
                <a:lnTo>
                  <a:pt x="108" y="113"/>
                </a:lnTo>
                <a:lnTo>
                  <a:pt x="123" y="137"/>
                </a:lnTo>
                <a:lnTo>
                  <a:pt x="327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0" name="Line 1984">
            <a:extLst>
              <a:ext uri="{FF2B5EF4-FFF2-40B4-BE49-F238E27FC236}">
                <a16:creationId xmlns:a16="http://schemas.microsoft.com/office/drawing/2014/main" id="{00000000-0008-0000-0800-0000C8110300}"/>
              </a:ext>
            </a:extLst>
          </xdr:cNvPr>
          <xdr:cNvSpPr>
            <a:spLocks noChangeShapeType="1"/>
          </xdr:cNvSpPr>
        </xdr:nvSpPr>
        <xdr:spPr bwMode="auto">
          <a:xfrm>
            <a:off x="3399" y="2891"/>
            <a:ext cx="132" cy="0"/>
          </a:xfrm>
          <a:prstGeom prst="line">
            <a:avLst/>
          </a:prstGeom>
          <a:noFill/>
          <a:ln w="9525">
            <a:solidFill>
              <a:srgbClr val="333399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161" name="Freeform 1985">
            <a:extLst>
              <a:ext uri="{FF2B5EF4-FFF2-40B4-BE49-F238E27FC236}">
                <a16:creationId xmlns:a16="http://schemas.microsoft.com/office/drawing/2014/main" id="{00000000-0008-0000-0800-0000C9110300}"/>
              </a:ext>
            </a:extLst>
          </xdr:cNvPr>
          <xdr:cNvSpPr>
            <a:spLocks/>
          </xdr:cNvSpPr>
        </xdr:nvSpPr>
        <xdr:spPr bwMode="auto">
          <a:xfrm>
            <a:off x="3399" y="3011"/>
            <a:ext cx="129" cy="1"/>
          </a:xfrm>
          <a:custGeom>
            <a:avLst/>
            <a:gdLst>
              <a:gd name="T0" fmla="*/ 0 w 129"/>
              <a:gd name="T1" fmla="*/ 0 h 1"/>
              <a:gd name="T2" fmla="*/ 129 w 129"/>
              <a:gd name="T3" fmla="*/ 0 h 1"/>
              <a:gd name="T4" fmla="*/ 0 60000 65536"/>
              <a:gd name="T5" fmla="*/ 0 60000 65536"/>
              <a:gd name="T6" fmla="*/ 0 w 129"/>
              <a:gd name="T7" fmla="*/ 0 h 1"/>
              <a:gd name="T8" fmla="*/ 129 w 129"/>
              <a:gd name="T9" fmla="*/ 1 h 1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129" h="1">
                <a:moveTo>
                  <a:pt x="0" y="0"/>
                </a:moveTo>
                <a:lnTo>
                  <a:pt x="129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2" name="Freeform 1986">
            <a:extLst>
              <a:ext uri="{FF2B5EF4-FFF2-40B4-BE49-F238E27FC236}">
                <a16:creationId xmlns:a16="http://schemas.microsoft.com/office/drawing/2014/main" id="{00000000-0008-0000-0800-0000CA110300}"/>
              </a:ext>
            </a:extLst>
          </xdr:cNvPr>
          <xdr:cNvSpPr>
            <a:spLocks/>
          </xdr:cNvSpPr>
        </xdr:nvSpPr>
        <xdr:spPr bwMode="auto">
          <a:xfrm>
            <a:off x="3837" y="3080"/>
            <a:ext cx="123" cy="94"/>
          </a:xfrm>
          <a:custGeom>
            <a:avLst/>
            <a:gdLst>
              <a:gd name="T0" fmla="*/ 14 w 123"/>
              <a:gd name="T1" fmla="*/ 0 h 94"/>
              <a:gd name="T2" fmla="*/ 13 w 123"/>
              <a:gd name="T3" fmla="*/ 66 h 94"/>
              <a:gd name="T4" fmla="*/ 0 w 123"/>
              <a:gd name="T5" fmla="*/ 66 h 94"/>
              <a:gd name="T6" fmla="*/ 0 w 123"/>
              <a:gd name="T7" fmla="*/ 94 h 94"/>
              <a:gd name="T8" fmla="*/ 123 w 123"/>
              <a:gd name="T9" fmla="*/ 94 h 9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23"/>
              <a:gd name="T16" fmla="*/ 0 h 94"/>
              <a:gd name="T17" fmla="*/ 123 w 123"/>
              <a:gd name="T18" fmla="*/ 94 h 9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23" h="94">
                <a:moveTo>
                  <a:pt x="14" y="0"/>
                </a:moveTo>
                <a:lnTo>
                  <a:pt x="13" y="66"/>
                </a:lnTo>
                <a:lnTo>
                  <a:pt x="0" y="66"/>
                </a:lnTo>
                <a:lnTo>
                  <a:pt x="0" y="94"/>
                </a:lnTo>
                <a:lnTo>
                  <a:pt x="123" y="9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3" name="Freeform 1987">
            <a:extLst>
              <a:ext uri="{FF2B5EF4-FFF2-40B4-BE49-F238E27FC236}">
                <a16:creationId xmlns:a16="http://schemas.microsoft.com/office/drawing/2014/main" id="{00000000-0008-0000-0800-0000CB110300}"/>
              </a:ext>
            </a:extLst>
          </xdr:cNvPr>
          <xdr:cNvSpPr>
            <a:spLocks/>
          </xdr:cNvSpPr>
        </xdr:nvSpPr>
        <xdr:spPr bwMode="auto">
          <a:xfrm>
            <a:off x="3372" y="3278"/>
            <a:ext cx="99" cy="232"/>
          </a:xfrm>
          <a:custGeom>
            <a:avLst/>
            <a:gdLst>
              <a:gd name="T0" fmla="*/ 2 w 99"/>
              <a:gd name="T1" fmla="*/ 0 h 232"/>
              <a:gd name="T2" fmla="*/ 2 w 99"/>
              <a:gd name="T3" fmla="*/ 88 h 232"/>
              <a:gd name="T4" fmla="*/ 32 w 99"/>
              <a:gd name="T5" fmla="*/ 88 h 232"/>
              <a:gd name="T6" fmla="*/ 32 w 99"/>
              <a:gd name="T7" fmla="*/ 232 h 232"/>
              <a:gd name="T8" fmla="*/ 99 w 99"/>
              <a:gd name="T9" fmla="*/ 232 h 23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9"/>
              <a:gd name="T16" fmla="*/ 0 h 232"/>
              <a:gd name="T17" fmla="*/ 99 w 99"/>
              <a:gd name="T18" fmla="*/ 232 h 23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9" h="232">
                <a:moveTo>
                  <a:pt x="2" y="0"/>
                </a:moveTo>
                <a:cubicBezTo>
                  <a:pt x="2" y="14"/>
                  <a:pt x="0" y="73"/>
                  <a:pt x="2" y="88"/>
                </a:cubicBezTo>
                <a:lnTo>
                  <a:pt x="32" y="88"/>
                </a:lnTo>
                <a:lnTo>
                  <a:pt x="32" y="232"/>
                </a:lnTo>
                <a:lnTo>
                  <a:pt x="99" y="23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4" name="Freeform 1988">
            <a:extLst>
              <a:ext uri="{FF2B5EF4-FFF2-40B4-BE49-F238E27FC236}">
                <a16:creationId xmlns:a16="http://schemas.microsoft.com/office/drawing/2014/main" id="{00000000-0008-0000-0800-0000CC110300}"/>
              </a:ext>
            </a:extLst>
          </xdr:cNvPr>
          <xdr:cNvSpPr>
            <a:spLocks/>
          </xdr:cNvSpPr>
        </xdr:nvSpPr>
        <xdr:spPr bwMode="auto">
          <a:xfrm>
            <a:off x="3435" y="3510"/>
            <a:ext cx="111" cy="153"/>
          </a:xfrm>
          <a:custGeom>
            <a:avLst/>
            <a:gdLst>
              <a:gd name="T0" fmla="*/ 0 w 111"/>
              <a:gd name="T1" fmla="*/ 0 h 153"/>
              <a:gd name="T2" fmla="*/ 0 w 111"/>
              <a:gd name="T3" fmla="*/ 78 h 153"/>
              <a:gd name="T4" fmla="*/ 41 w 111"/>
              <a:gd name="T5" fmla="*/ 78 h 153"/>
              <a:gd name="T6" fmla="*/ 41 w 111"/>
              <a:gd name="T7" fmla="*/ 125 h 153"/>
              <a:gd name="T8" fmla="*/ 80 w 111"/>
              <a:gd name="T9" fmla="*/ 125 h 153"/>
              <a:gd name="T10" fmla="*/ 80 w 111"/>
              <a:gd name="T11" fmla="*/ 153 h 153"/>
              <a:gd name="T12" fmla="*/ 111 w 111"/>
              <a:gd name="T13" fmla="*/ 153 h 15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11"/>
              <a:gd name="T22" fmla="*/ 0 h 153"/>
              <a:gd name="T23" fmla="*/ 111 w 111"/>
              <a:gd name="T24" fmla="*/ 153 h 153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11" h="153">
                <a:moveTo>
                  <a:pt x="0" y="0"/>
                </a:moveTo>
                <a:lnTo>
                  <a:pt x="0" y="78"/>
                </a:lnTo>
                <a:lnTo>
                  <a:pt x="41" y="78"/>
                </a:lnTo>
                <a:lnTo>
                  <a:pt x="41" y="125"/>
                </a:lnTo>
                <a:lnTo>
                  <a:pt x="80" y="125"/>
                </a:lnTo>
                <a:lnTo>
                  <a:pt x="80" y="153"/>
                </a:lnTo>
                <a:lnTo>
                  <a:pt x="111" y="153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5" name="Freeform 1989">
            <a:extLst>
              <a:ext uri="{FF2B5EF4-FFF2-40B4-BE49-F238E27FC236}">
                <a16:creationId xmlns:a16="http://schemas.microsoft.com/office/drawing/2014/main" id="{00000000-0008-0000-0800-0000CD110300}"/>
              </a:ext>
            </a:extLst>
          </xdr:cNvPr>
          <xdr:cNvSpPr>
            <a:spLocks/>
          </xdr:cNvSpPr>
        </xdr:nvSpPr>
        <xdr:spPr bwMode="auto">
          <a:xfrm>
            <a:off x="3442" y="3202"/>
            <a:ext cx="270" cy="457"/>
          </a:xfrm>
          <a:custGeom>
            <a:avLst/>
            <a:gdLst>
              <a:gd name="T0" fmla="*/ 182 w 270"/>
              <a:gd name="T1" fmla="*/ 457 h 457"/>
              <a:gd name="T2" fmla="*/ 182 w 270"/>
              <a:gd name="T3" fmla="*/ 392 h 457"/>
              <a:gd name="T4" fmla="*/ 247 w 270"/>
              <a:gd name="T5" fmla="*/ 392 h 457"/>
              <a:gd name="T6" fmla="*/ 248 w 270"/>
              <a:gd name="T7" fmla="*/ 300 h 457"/>
              <a:gd name="T8" fmla="*/ 254 w 270"/>
              <a:gd name="T9" fmla="*/ 256 h 457"/>
              <a:gd name="T10" fmla="*/ 270 w 270"/>
              <a:gd name="T11" fmla="*/ 256 h 457"/>
              <a:gd name="T12" fmla="*/ 268 w 270"/>
              <a:gd name="T13" fmla="*/ 238 h 457"/>
              <a:gd name="T14" fmla="*/ 242 w 270"/>
              <a:gd name="T15" fmla="*/ 240 h 457"/>
              <a:gd name="T16" fmla="*/ 242 w 270"/>
              <a:gd name="T17" fmla="*/ 224 h 457"/>
              <a:gd name="T18" fmla="*/ 250 w 270"/>
              <a:gd name="T19" fmla="*/ 208 h 457"/>
              <a:gd name="T20" fmla="*/ 254 w 270"/>
              <a:gd name="T21" fmla="*/ 130 h 457"/>
              <a:gd name="T22" fmla="*/ 212 w 270"/>
              <a:gd name="T23" fmla="*/ 128 h 457"/>
              <a:gd name="T24" fmla="*/ 214 w 270"/>
              <a:gd name="T25" fmla="*/ 74 h 457"/>
              <a:gd name="T26" fmla="*/ 172 w 270"/>
              <a:gd name="T27" fmla="*/ 74 h 457"/>
              <a:gd name="T28" fmla="*/ 170 w 270"/>
              <a:gd name="T29" fmla="*/ 60 h 457"/>
              <a:gd name="T30" fmla="*/ 116 w 270"/>
              <a:gd name="T31" fmla="*/ 62 h 457"/>
              <a:gd name="T32" fmla="*/ 116 w 270"/>
              <a:gd name="T33" fmla="*/ 50 h 457"/>
              <a:gd name="T34" fmla="*/ 82 w 270"/>
              <a:gd name="T35" fmla="*/ 50 h 457"/>
              <a:gd name="T36" fmla="*/ 78 w 270"/>
              <a:gd name="T37" fmla="*/ 0 h 457"/>
              <a:gd name="T38" fmla="*/ 0 w 270"/>
              <a:gd name="T39" fmla="*/ 0 h 457"/>
              <a:gd name="T40" fmla="*/ 0 w 270"/>
              <a:gd name="T41" fmla="*/ 76 h 45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270"/>
              <a:gd name="T64" fmla="*/ 0 h 457"/>
              <a:gd name="T65" fmla="*/ 270 w 270"/>
              <a:gd name="T66" fmla="*/ 457 h 45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270" h="457">
                <a:moveTo>
                  <a:pt x="182" y="457"/>
                </a:moveTo>
                <a:lnTo>
                  <a:pt x="182" y="392"/>
                </a:lnTo>
                <a:lnTo>
                  <a:pt x="247" y="392"/>
                </a:lnTo>
                <a:lnTo>
                  <a:pt x="248" y="300"/>
                </a:lnTo>
                <a:lnTo>
                  <a:pt x="254" y="256"/>
                </a:lnTo>
                <a:lnTo>
                  <a:pt x="270" y="256"/>
                </a:lnTo>
                <a:lnTo>
                  <a:pt x="268" y="238"/>
                </a:lnTo>
                <a:lnTo>
                  <a:pt x="242" y="240"/>
                </a:lnTo>
                <a:lnTo>
                  <a:pt x="242" y="224"/>
                </a:lnTo>
                <a:lnTo>
                  <a:pt x="250" y="208"/>
                </a:lnTo>
                <a:lnTo>
                  <a:pt x="254" y="130"/>
                </a:lnTo>
                <a:lnTo>
                  <a:pt x="212" y="128"/>
                </a:lnTo>
                <a:lnTo>
                  <a:pt x="214" y="74"/>
                </a:lnTo>
                <a:lnTo>
                  <a:pt x="172" y="74"/>
                </a:lnTo>
                <a:lnTo>
                  <a:pt x="170" y="60"/>
                </a:lnTo>
                <a:lnTo>
                  <a:pt x="116" y="62"/>
                </a:lnTo>
                <a:lnTo>
                  <a:pt x="116" y="50"/>
                </a:lnTo>
                <a:lnTo>
                  <a:pt x="82" y="50"/>
                </a:lnTo>
                <a:lnTo>
                  <a:pt x="78" y="0"/>
                </a:lnTo>
                <a:lnTo>
                  <a:pt x="0" y="0"/>
                </a:lnTo>
                <a:lnTo>
                  <a:pt x="0" y="76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6" name="Freeform 1990">
            <a:extLst>
              <a:ext uri="{FF2B5EF4-FFF2-40B4-BE49-F238E27FC236}">
                <a16:creationId xmlns:a16="http://schemas.microsoft.com/office/drawing/2014/main" id="{00000000-0008-0000-0800-0000CE110300}"/>
              </a:ext>
            </a:extLst>
          </xdr:cNvPr>
          <xdr:cNvSpPr>
            <a:spLocks/>
          </xdr:cNvSpPr>
        </xdr:nvSpPr>
        <xdr:spPr bwMode="auto">
          <a:xfrm>
            <a:off x="2807" y="3976"/>
            <a:ext cx="707" cy="55"/>
          </a:xfrm>
          <a:custGeom>
            <a:avLst/>
            <a:gdLst>
              <a:gd name="T0" fmla="*/ 0 w 707"/>
              <a:gd name="T1" fmla="*/ 55 h 55"/>
              <a:gd name="T2" fmla="*/ 261 w 707"/>
              <a:gd name="T3" fmla="*/ 55 h 55"/>
              <a:gd name="T4" fmla="*/ 261 w 707"/>
              <a:gd name="T5" fmla="*/ 27 h 55"/>
              <a:gd name="T6" fmla="*/ 332 w 707"/>
              <a:gd name="T7" fmla="*/ 27 h 55"/>
              <a:gd name="T8" fmla="*/ 368 w 707"/>
              <a:gd name="T9" fmla="*/ 0 h 55"/>
              <a:gd name="T10" fmla="*/ 707 w 707"/>
              <a:gd name="T11" fmla="*/ 4 h 5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707"/>
              <a:gd name="T19" fmla="*/ 0 h 55"/>
              <a:gd name="T20" fmla="*/ 707 w 707"/>
              <a:gd name="T21" fmla="*/ 55 h 5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707" h="55">
                <a:moveTo>
                  <a:pt x="0" y="55"/>
                </a:moveTo>
                <a:lnTo>
                  <a:pt x="261" y="55"/>
                </a:lnTo>
                <a:lnTo>
                  <a:pt x="261" y="27"/>
                </a:lnTo>
                <a:lnTo>
                  <a:pt x="332" y="27"/>
                </a:lnTo>
                <a:lnTo>
                  <a:pt x="368" y="0"/>
                </a:lnTo>
                <a:lnTo>
                  <a:pt x="707" y="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7" name="Freeform 1991">
            <a:extLst>
              <a:ext uri="{FF2B5EF4-FFF2-40B4-BE49-F238E27FC236}">
                <a16:creationId xmlns:a16="http://schemas.microsoft.com/office/drawing/2014/main" id="{00000000-0008-0000-0800-0000CF110300}"/>
              </a:ext>
            </a:extLst>
          </xdr:cNvPr>
          <xdr:cNvSpPr>
            <a:spLocks/>
          </xdr:cNvSpPr>
        </xdr:nvSpPr>
        <xdr:spPr bwMode="auto">
          <a:xfrm>
            <a:off x="2802" y="4118"/>
            <a:ext cx="713" cy="18"/>
          </a:xfrm>
          <a:custGeom>
            <a:avLst/>
            <a:gdLst>
              <a:gd name="T0" fmla="*/ 0 w 713"/>
              <a:gd name="T1" fmla="*/ 15 h 18"/>
              <a:gd name="T2" fmla="*/ 333 w 713"/>
              <a:gd name="T3" fmla="*/ 15 h 18"/>
              <a:gd name="T4" fmla="*/ 332 w 713"/>
              <a:gd name="T5" fmla="*/ 0 h 18"/>
              <a:gd name="T6" fmla="*/ 362 w 713"/>
              <a:gd name="T7" fmla="*/ 2 h 18"/>
              <a:gd name="T8" fmla="*/ 374 w 713"/>
              <a:gd name="T9" fmla="*/ 18 h 18"/>
              <a:gd name="T10" fmla="*/ 492 w 713"/>
              <a:gd name="T11" fmla="*/ 18 h 18"/>
              <a:gd name="T12" fmla="*/ 713 w 713"/>
              <a:gd name="T13" fmla="*/ 18 h 18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713"/>
              <a:gd name="T22" fmla="*/ 0 h 18"/>
              <a:gd name="T23" fmla="*/ 713 w 713"/>
              <a:gd name="T24" fmla="*/ 18 h 18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713" h="18">
                <a:moveTo>
                  <a:pt x="0" y="15"/>
                </a:moveTo>
                <a:lnTo>
                  <a:pt x="333" y="15"/>
                </a:lnTo>
                <a:lnTo>
                  <a:pt x="332" y="0"/>
                </a:lnTo>
                <a:lnTo>
                  <a:pt x="362" y="2"/>
                </a:lnTo>
                <a:lnTo>
                  <a:pt x="374" y="18"/>
                </a:lnTo>
                <a:lnTo>
                  <a:pt x="492" y="18"/>
                </a:lnTo>
                <a:lnTo>
                  <a:pt x="713" y="1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8" name="Freeform 1992">
            <a:extLst>
              <a:ext uri="{FF2B5EF4-FFF2-40B4-BE49-F238E27FC236}">
                <a16:creationId xmlns:a16="http://schemas.microsoft.com/office/drawing/2014/main" id="{00000000-0008-0000-0800-0000D0110300}"/>
              </a:ext>
            </a:extLst>
          </xdr:cNvPr>
          <xdr:cNvSpPr>
            <a:spLocks/>
          </xdr:cNvSpPr>
        </xdr:nvSpPr>
        <xdr:spPr bwMode="auto">
          <a:xfrm>
            <a:off x="2802" y="4131"/>
            <a:ext cx="38" cy="185"/>
          </a:xfrm>
          <a:custGeom>
            <a:avLst/>
            <a:gdLst>
              <a:gd name="T0" fmla="*/ 38 w 38"/>
              <a:gd name="T1" fmla="*/ 183 h 185"/>
              <a:gd name="T2" fmla="*/ 0 w 38"/>
              <a:gd name="T3" fmla="*/ 185 h 185"/>
              <a:gd name="T4" fmla="*/ 2 w 38"/>
              <a:gd name="T5" fmla="*/ 0 h 185"/>
              <a:gd name="T6" fmla="*/ 0 60000 65536"/>
              <a:gd name="T7" fmla="*/ 0 60000 65536"/>
              <a:gd name="T8" fmla="*/ 0 60000 65536"/>
              <a:gd name="T9" fmla="*/ 0 w 38"/>
              <a:gd name="T10" fmla="*/ 0 h 185"/>
              <a:gd name="T11" fmla="*/ 38 w 38"/>
              <a:gd name="T12" fmla="*/ 185 h 18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" h="185">
                <a:moveTo>
                  <a:pt x="38" y="183"/>
                </a:moveTo>
                <a:lnTo>
                  <a:pt x="0" y="185"/>
                </a:lnTo>
                <a:lnTo>
                  <a:pt x="2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69" name="Freeform 1993">
            <a:extLst>
              <a:ext uri="{FF2B5EF4-FFF2-40B4-BE49-F238E27FC236}">
                <a16:creationId xmlns:a16="http://schemas.microsoft.com/office/drawing/2014/main" id="{00000000-0008-0000-0800-0000D1110300}"/>
              </a:ext>
            </a:extLst>
          </xdr:cNvPr>
          <xdr:cNvSpPr>
            <a:spLocks/>
          </xdr:cNvSpPr>
        </xdr:nvSpPr>
        <xdr:spPr bwMode="auto">
          <a:xfrm>
            <a:off x="2802" y="4218"/>
            <a:ext cx="710" cy="2"/>
          </a:xfrm>
          <a:custGeom>
            <a:avLst/>
            <a:gdLst>
              <a:gd name="T0" fmla="*/ 0 w 710"/>
              <a:gd name="T1" fmla="*/ 0 h 2"/>
              <a:gd name="T2" fmla="*/ 710 w 710"/>
              <a:gd name="T3" fmla="*/ 2 h 2"/>
              <a:gd name="T4" fmla="*/ 0 60000 65536"/>
              <a:gd name="T5" fmla="*/ 0 60000 65536"/>
              <a:gd name="T6" fmla="*/ 0 w 710"/>
              <a:gd name="T7" fmla="*/ 0 h 2"/>
              <a:gd name="T8" fmla="*/ 710 w 710"/>
              <a:gd name="T9" fmla="*/ 2 h 2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710" h="2">
                <a:moveTo>
                  <a:pt x="0" y="0"/>
                </a:moveTo>
                <a:lnTo>
                  <a:pt x="710" y="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70" name="Freeform 1994">
            <a:extLst>
              <a:ext uri="{FF2B5EF4-FFF2-40B4-BE49-F238E27FC236}">
                <a16:creationId xmlns:a16="http://schemas.microsoft.com/office/drawing/2014/main" id="{00000000-0008-0000-0800-0000D2110300}"/>
              </a:ext>
            </a:extLst>
          </xdr:cNvPr>
          <xdr:cNvSpPr>
            <a:spLocks/>
          </xdr:cNvSpPr>
        </xdr:nvSpPr>
        <xdr:spPr bwMode="auto">
          <a:xfrm>
            <a:off x="3518" y="4108"/>
            <a:ext cx="442" cy="56"/>
          </a:xfrm>
          <a:custGeom>
            <a:avLst/>
            <a:gdLst>
              <a:gd name="T0" fmla="*/ 0 w 442"/>
              <a:gd name="T1" fmla="*/ 56 h 56"/>
              <a:gd name="T2" fmla="*/ 310 w 442"/>
              <a:gd name="T3" fmla="*/ 56 h 56"/>
              <a:gd name="T4" fmla="*/ 312 w 442"/>
              <a:gd name="T5" fmla="*/ 0 h 56"/>
              <a:gd name="T6" fmla="*/ 442 w 442"/>
              <a:gd name="T7" fmla="*/ 0 h 56"/>
              <a:gd name="T8" fmla="*/ 0 60000 65536"/>
              <a:gd name="T9" fmla="*/ 0 60000 65536"/>
              <a:gd name="T10" fmla="*/ 0 60000 65536"/>
              <a:gd name="T11" fmla="*/ 0 60000 65536"/>
              <a:gd name="T12" fmla="*/ 0 w 442"/>
              <a:gd name="T13" fmla="*/ 0 h 56"/>
              <a:gd name="T14" fmla="*/ 442 w 442"/>
              <a:gd name="T15" fmla="*/ 56 h 5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442" h="56">
                <a:moveTo>
                  <a:pt x="0" y="56"/>
                </a:moveTo>
                <a:lnTo>
                  <a:pt x="310" y="56"/>
                </a:lnTo>
                <a:lnTo>
                  <a:pt x="312" y="0"/>
                </a:lnTo>
                <a:lnTo>
                  <a:pt x="442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71" name="Freeform 1995">
            <a:extLst>
              <a:ext uri="{FF2B5EF4-FFF2-40B4-BE49-F238E27FC236}">
                <a16:creationId xmlns:a16="http://schemas.microsoft.com/office/drawing/2014/main" id="{00000000-0008-0000-0800-0000D3110300}"/>
              </a:ext>
            </a:extLst>
          </xdr:cNvPr>
          <xdr:cNvSpPr>
            <a:spLocks/>
          </xdr:cNvSpPr>
        </xdr:nvSpPr>
        <xdr:spPr bwMode="auto">
          <a:xfrm>
            <a:off x="3485" y="4418"/>
            <a:ext cx="475" cy="78"/>
          </a:xfrm>
          <a:custGeom>
            <a:avLst/>
            <a:gdLst>
              <a:gd name="T0" fmla="*/ 0 w 475"/>
              <a:gd name="T1" fmla="*/ 78 h 78"/>
              <a:gd name="T2" fmla="*/ 315 w 475"/>
              <a:gd name="T3" fmla="*/ 78 h 78"/>
              <a:gd name="T4" fmla="*/ 315 w 475"/>
              <a:gd name="T5" fmla="*/ 0 h 78"/>
              <a:gd name="T6" fmla="*/ 475 w 475"/>
              <a:gd name="T7" fmla="*/ 0 h 78"/>
              <a:gd name="T8" fmla="*/ 0 60000 65536"/>
              <a:gd name="T9" fmla="*/ 0 60000 65536"/>
              <a:gd name="T10" fmla="*/ 0 60000 65536"/>
              <a:gd name="T11" fmla="*/ 0 60000 65536"/>
              <a:gd name="T12" fmla="*/ 0 w 475"/>
              <a:gd name="T13" fmla="*/ 0 h 78"/>
              <a:gd name="T14" fmla="*/ 475 w 475"/>
              <a:gd name="T15" fmla="*/ 78 h 7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475" h="78">
                <a:moveTo>
                  <a:pt x="0" y="78"/>
                </a:moveTo>
                <a:lnTo>
                  <a:pt x="315" y="78"/>
                </a:lnTo>
                <a:lnTo>
                  <a:pt x="315" y="0"/>
                </a:lnTo>
                <a:lnTo>
                  <a:pt x="475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72" name="Freeform 1996">
            <a:extLst>
              <a:ext uri="{FF2B5EF4-FFF2-40B4-BE49-F238E27FC236}">
                <a16:creationId xmlns:a16="http://schemas.microsoft.com/office/drawing/2014/main" id="{00000000-0008-0000-0800-0000D4110300}"/>
              </a:ext>
            </a:extLst>
          </xdr:cNvPr>
          <xdr:cNvSpPr>
            <a:spLocks/>
          </xdr:cNvSpPr>
        </xdr:nvSpPr>
        <xdr:spPr bwMode="auto">
          <a:xfrm>
            <a:off x="3549" y="4700"/>
            <a:ext cx="407" cy="1"/>
          </a:xfrm>
          <a:custGeom>
            <a:avLst/>
            <a:gdLst>
              <a:gd name="T0" fmla="*/ 0 w 407"/>
              <a:gd name="T1" fmla="*/ 0 h 1"/>
              <a:gd name="T2" fmla="*/ 407 w 407"/>
              <a:gd name="T3" fmla="*/ 0 h 1"/>
              <a:gd name="T4" fmla="*/ 0 60000 65536"/>
              <a:gd name="T5" fmla="*/ 0 60000 65536"/>
              <a:gd name="T6" fmla="*/ 0 w 407"/>
              <a:gd name="T7" fmla="*/ 0 h 1"/>
              <a:gd name="T8" fmla="*/ 407 w 407"/>
              <a:gd name="T9" fmla="*/ 1 h 1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407" h="1">
                <a:moveTo>
                  <a:pt x="0" y="0"/>
                </a:moveTo>
                <a:lnTo>
                  <a:pt x="407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73" name="Freeform 1997">
            <a:extLst>
              <a:ext uri="{FF2B5EF4-FFF2-40B4-BE49-F238E27FC236}">
                <a16:creationId xmlns:a16="http://schemas.microsoft.com/office/drawing/2014/main" id="{00000000-0008-0000-0800-0000D5110300}"/>
              </a:ext>
            </a:extLst>
          </xdr:cNvPr>
          <xdr:cNvSpPr>
            <a:spLocks/>
          </xdr:cNvSpPr>
        </xdr:nvSpPr>
        <xdr:spPr bwMode="auto">
          <a:xfrm>
            <a:off x="3546" y="4910"/>
            <a:ext cx="410" cy="1"/>
          </a:xfrm>
          <a:custGeom>
            <a:avLst/>
            <a:gdLst>
              <a:gd name="T0" fmla="*/ 0 w 410"/>
              <a:gd name="T1" fmla="*/ 1 h 1"/>
              <a:gd name="T2" fmla="*/ 407 w 410"/>
              <a:gd name="T3" fmla="*/ 0 h 1"/>
              <a:gd name="T4" fmla="*/ 410 w 410"/>
              <a:gd name="T5" fmla="*/ 0 h 1"/>
              <a:gd name="T6" fmla="*/ 0 60000 65536"/>
              <a:gd name="T7" fmla="*/ 0 60000 65536"/>
              <a:gd name="T8" fmla="*/ 0 60000 65536"/>
              <a:gd name="T9" fmla="*/ 0 w 410"/>
              <a:gd name="T10" fmla="*/ 0 h 1"/>
              <a:gd name="T11" fmla="*/ 410 w 410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10" h="1">
                <a:moveTo>
                  <a:pt x="0" y="1"/>
                </a:moveTo>
                <a:lnTo>
                  <a:pt x="407" y="0"/>
                </a:lnTo>
                <a:lnTo>
                  <a:pt x="410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22" name="Text Box 1998">
            <a:extLst>
              <a:ext uri="{FF2B5EF4-FFF2-40B4-BE49-F238E27FC236}">
                <a16:creationId xmlns:a16="http://schemas.microsoft.com/office/drawing/2014/main" id="{00000000-0008-0000-0800-0000C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1" y="4059"/>
            <a:ext cx="24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Dexter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3" name="Text Box 1999">
            <a:extLst>
              <a:ext uri="{FF2B5EF4-FFF2-40B4-BE49-F238E27FC236}">
                <a16:creationId xmlns:a16="http://schemas.microsoft.com/office/drawing/2014/main" id="{00000000-0008-0000-0800-0000C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8" y="4213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4" name="Text Box 2000">
            <a:extLst>
              <a:ext uri="{FF2B5EF4-FFF2-40B4-BE49-F238E27FC236}">
                <a16:creationId xmlns:a16="http://schemas.microsoft.com/office/drawing/2014/main" id="{00000000-0008-0000-0800-0000D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59" y="4142"/>
            <a:ext cx="28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Hagerman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5" name="Text Box 2001">
            <a:extLst>
              <a:ext uri="{FF2B5EF4-FFF2-40B4-BE49-F238E27FC236}">
                <a16:creationId xmlns:a16="http://schemas.microsoft.com/office/drawing/2014/main" id="{00000000-0008-0000-0800-0000D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59" y="4219"/>
            <a:ext cx="336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Lake Arthur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6" name="Text Box 2002">
            <a:extLst>
              <a:ext uri="{FF2B5EF4-FFF2-40B4-BE49-F238E27FC236}">
                <a16:creationId xmlns:a16="http://schemas.microsoft.com/office/drawing/2014/main" id="{00000000-0008-0000-0800-0000D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24" y="4142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7" name="Text Box 2003">
            <a:extLst>
              <a:ext uri="{FF2B5EF4-FFF2-40B4-BE49-F238E27FC236}">
                <a16:creationId xmlns:a16="http://schemas.microsoft.com/office/drawing/2014/main" id="{00000000-0008-0000-0800-0000D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0" y="4059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8" name="Text Box 2004">
            <a:extLst>
              <a:ext uri="{FF2B5EF4-FFF2-40B4-BE49-F238E27FC236}">
                <a16:creationId xmlns:a16="http://schemas.microsoft.com/office/drawing/2014/main" id="{00000000-0008-0000-0800-0000D4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8" y="3792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29" name="Text Box 2005">
            <a:extLst>
              <a:ext uri="{FF2B5EF4-FFF2-40B4-BE49-F238E27FC236}">
                <a16:creationId xmlns:a16="http://schemas.microsoft.com/office/drawing/2014/main" id="{00000000-0008-0000-0800-0000D5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8" y="3934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Tatum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0" name="Text Box 2006">
            <a:extLst>
              <a:ext uri="{FF2B5EF4-FFF2-40B4-BE49-F238E27FC236}">
                <a16:creationId xmlns:a16="http://schemas.microsoft.com/office/drawing/2014/main" id="{00000000-0008-0000-0800-0000D6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2" y="4219"/>
            <a:ext cx="28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Lovington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1" name="Text Box 2007">
            <a:extLst>
              <a:ext uri="{FF2B5EF4-FFF2-40B4-BE49-F238E27FC236}">
                <a16:creationId xmlns:a16="http://schemas.microsoft.com/office/drawing/2014/main" id="{00000000-0008-0000-0800-0000D7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89" y="4171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2" name="Text Box 2008">
            <a:extLst>
              <a:ext uri="{FF2B5EF4-FFF2-40B4-BE49-F238E27FC236}">
                <a16:creationId xmlns:a16="http://schemas.microsoft.com/office/drawing/2014/main" id="{00000000-0008-0000-0800-0000D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5" y="4563"/>
            <a:ext cx="194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Hobbs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3" name="Text Box 2009">
            <a:extLst>
              <a:ext uri="{FF2B5EF4-FFF2-40B4-BE49-F238E27FC236}">
                <a16:creationId xmlns:a16="http://schemas.microsoft.com/office/drawing/2014/main" id="{00000000-0008-0000-0800-0000D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5" y="4753"/>
            <a:ext cx="194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Eunice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4" name="Text Box 2010">
            <a:extLst>
              <a:ext uri="{FF2B5EF4-FFF2-40B4-BE49-F238E27FC236}">
                <a16:creationId xmlns:a16="http://schemas.microsoft.com/office/drawing/2014/main" id="{00000000-0008-0000-0800-0000D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5" y="4990"/>
            <a:ext cx="19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Jal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5" name="Text Box 2011">
            <a:extLst>
              <a:ext uri="{FF2B5EF4-FFF2-40B4-BE49-F238E27FC236}">
                <a16:creationId xmlns:a16="http://schemas.microsoft.com/office/drawing/2014/main" id="{00000000-0008-0000-0800-0000D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60" y="4859"/>
            <a:ext cx="19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Loving                          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6" name="Text Box 2012">
            <a:extLst>
              <a:ext uri="{FF2B5EF4-FFF2-40B4-BE49-F238E27FC236}">
                <a16:creationId xmlns:a16="http://schemas.microsoft.com/office/drawing/2014/main" id="{00000000-0008-0000-0800-0000D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48" y="4859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10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7" name="Text Box 2013">
            <a:extLst>
              <a:ext uri="{FF2B5EF4-FFF2-40B4-BE49-F238E27FC236}">
                <a16:creationId xmlns:a16="http://schemas.microsoft.com/office/drawing/2014/main" id="{00000000-0008-0000-0800-0000DD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5" y="4818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8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8" name="Text Box 2014">
            <a:extLst>
              <a:ext uri="{FF2B5EF4-FFF2-40B4-BE49-F238E27FC236}">
                <a16:creationId xmlns:a16="http://schemas.microsoft.com/office/drawing/2014/main" id="{00000000-0008-0000-0800-0000D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01" y="4990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19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39" name="Text Box 2015">
            <a:extLst>
              <a:ext uri="{FF2B5EF4-FFF2-40B4-BE49-F238E27FC236}">
                <a16:creationId xmlns:a16="http://schemas.microsoft.com/office/drawing/2014/main" id="{00000000-0008-0000-0800-0000D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30" y="4581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40" name="Text Box 2016">
            <a:extLst>
              <a:ext uri="{FF2B5EF4-FFF2-40B4-BE49-F238E27FC236}">
                <a16:creationId xmlns:a16="http://schemas.microsoft.com/office/drawing/2014/main" id="{00000000-0008-0000-0800-0000E0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0" y="4895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        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41" name="Text Box 2017">
            <a:extLst>
              <a:ext uri="{FF2B5EF4-FFF2-40B4-BE49-F238E27FC236}">
                <a16:creationId xmlns:a16="http://schemas.microsoft.com/office/drawing/2014/main" id="{00000000-0008-0000-0800-0000E1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9" y="4426"/>
            <a:ext cx="19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Hope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42" name="Text Box 2018">
            <a:extLst>
              <a:ext uri="{FF2B5EF4-FFF2-40B4-BE49-F238E27FC236}">
                <a16:creationId xmlns:a16="http://schemas.microsoft.com/office/drawing/2014/main" id="{00000000-0008-0000-0800-0000E2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3" y="4409"/>
            <a:ext cx="194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Artesia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43" name="Text Box 2019">
            <a:extLst>
              <a:ext uri="{FF2B5EF4-FFF2-40B4-BE49-F238E27FC236}">
                <a16:creationId xmlns:a16="http://schemas.microsoft.com/office/drawing/2014/main" id="{00000000-0008-0000-0800-0000E3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36" y="4782"/>
            <a:ext cx="277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Carlsbad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196" name="Freeform 2020">
            <a:extLst>
              <a:ext uri="{FF2B5EF4-FFF2-40B4-BE49-F238E27FC236}">
                <a16:creationId xmlns:a16="http://schemas.microsoft.com/office/drawing/2014/main" id="{00000000-0008-0000-0800-0000EC110300}"/>
              </a:ext>
            </a:extLst>
          </xdr:cNvPr>
          <xdr:cNvSpPr>
            <a:spLocks/>
          </xdr:cNvSpPr>
        </xdr:nvSpPr>
        <xdr:spPr bwMode="auto">
          <a:xfrm>
            <a:off x="2240" y="646"/>
            <a:ext cx="306" cy="736"/>
          </a:xfrm>
          <a:custGeom>
            <a:avLst/>
            <a:gdLst>
              <a:gd name="T0" fmla="*/ 102 w 306"/>
              <a:gd name="T1" fmla="*/ 0 h 736"/>
              <a:gd name="T2" fmla="*/ 100 w 306"/>
              <a:gd name="T3" fmla="*/ 46 h 736"/>
              <a:gd name="T4" fmla="*/ 96 w 306"/>
              <a:gd name="T5" fmla="*/ 100 h 736"/>
              <a:gd name="T6" fmla="*/ 106 w 306"/>
              <a:gd name="T7" fmla="*/ 106 h 736"/>
              <a:gd name="T8" fmla="*/ 110 w 306"/>
              <a:gd name="T9" fmla="*/ 122 h 736"/>
              <a:gd name="T10" fmla="*/ 116 w 306"/>
              <a:gd name="T11" fmla="*/ 132 h 736"/>
              <a:gd name="T12" fmla="*/ 114 w 306"/>
              <a:gd name="T13" fmla="*/ 146 h 736"/>
              <a:gd name="T14" fmla="*/ 108 w 306"/>
              <a:gd name="T15" fmla="*/ 172 h 736"/>
              <a:gd name="T16" fmla="*/ 114 w 306"/>
              <a:gd name="T17" fmla="*/ 184 h 736"/>
              <a:gd name="T18" fmla="*/ 116 w 306"/>
              <a:gd name="T19" fmla="*/ 200 h 736"/>
              <a:gd name="T20" fmla="*/ 104 w 306"/>
              <a:gd name="T21" fmla="*/ 228 h 736"/>
              <a:gd name="T22" fmla="*/ 110 w 306"/>
              <a:gd name="T23" fmla="*/ 248 h 736"/>
              <a:gd name="T24" fmla="*/ 116 w 306"/>
              <a:gd name="T25" fmla="*/ 262 h 736"/>
              <a:gd name="T26" fmla="*/ 122 w 306"/>
              <a:gd name="T27" fmla="*/ 278 h 736"/>
              <a:gd name="T28" fmla="*/ 128 w 306"/>
              <a:gd name="T29" fmla="*/ 288 h 736"/>
              <a:gd name="T30" fmla="*/ 130 w 306"/>
              <a:gd name="T31" fmla="*/ 316 h 736"/>
              <a:gd name="T32" fmla="*/ 122 w 306"/>
              <a:gd name="T33" fmla="*/ 326 h 736"/>
              <a:gd name="T34" fmla="*/ 116 w 306"/>
              <a:gd name="T35" fmla="*/ 342 h 736"/>
              <a:gd name="T36" fmla="*/ 110 w 306"/>
              <a:gd name="T37" fmla="*/ 352 h 736"/>
              <a:gd name="T38" fmla="*/ 106 w 306"/>
              <a:gd name="T39" fmla="*/ 384 h 736"/>
              <a:gd name="T40" fmla="*/ 100 w 306"/>
              <a:gd name="T41" fmla="*/ 406 h 736"/>
              <a:gd name="T42" fmla="*/ 84 w 306"/>
              <a:gd name="T43" fmla="*/ 444 h 736"/>
              <a:gd name="T44" fmla="*/ 82 w 306"/>
              <a:gd name="T45" fmla="*/ 468 h 736"/>
              <a:gd name="T46" fmla="*/ 86 w 306"/>
              <a:gd name="T47" fmla="*/ 492 h 736"/>
              <a:gd name="T48" fmla="*/ 88 w 306"/>
              <a:gd name="T49" fmla="*/ 516 h 736"/>
              <a:gd name="T50" fmla="*/ 80 w 306"/>
              <a:gd name="T51" fmla="*/ 530 h 736"/>
              <a:gd name="T52" fmla="*/ 86 w 306"/>
              <a:gd name="T53" fmla="*/ 540 h 736"/>
              <a:gd name="T54" fmla="*/ 85 w 306"/>
              <a:gd name="T55" fmla="*/ 572 h 736"/>
              <a:gd name="T56" fmla="*/ 3 w 306"/>
              <a:gd name="T57" fmla="*/ 569 h 736"/>
              <a:gd name="T58" fmla="*/ 0 w 306"/>
              <a:gd name="T59" fmla="*/ 680 h 736"/>
              <a:gd name="T60" fmla="*/ 22 w 306"/>
              <a:gd name="T61" fmla="*/ 710 h 736"/>
              <a:gd name="T62" fmla="*/ 70 w 306"/>
              <a:gd name="T63" fmla="*/ 712 h 736"/>
              <a:gd name="T64" fmla="*/ 72 w 306"/>
              <a:gd name="T65" fmla="*/ 680 h 736"/>
              <a:gd name="T66" fmla="*/ 134 w 306"/>
              <a:gd name="T67" fmla="*/ 684 h 736"/>
              <a:gd name="T68" fmla="*/ 150 w 306"/>
              <a:gd name="T69" fmla="*/ 690 h 736"/>
              <a:gd name="T70" fmla="*/ 168 w 306"/>
              <a:gd name="T71" fmla="*/ 700 h 736"/>
              <a:gd name="T72" fmla="*/ 170 w 306"/>
              <a:gd name="T73" fmla="*/ 712 h 736"/>
              <a:gd name="T74" fmla="*/ 184 w 306"/>
              <a:gd name="T75" fmla="*/ 718 h 736"/>
              <a:gd name="T76" fmla="*/ 210 w 306"/>
              <a:gd name="T77" fmla="*/ 736 h 736"/>
              <a:gd name="T78" fmla="*/ 224 w 306"/>
              <a:gd name="T79" fmla="*/ 732 h 736"/>
              <a:gd name="T80" fmla="*/ 248 w 306"/>
              <a:gd name="T81" fmla="*/ 708 h 736"/>
              <a:gd name="T82" fmla="*/ 282 w 306"/>
              <a:gd name="T83" fmla="*/ 678 h 736"/>
              <a:gd name="T84" fmla="*/ 298 w 306"/>
              <a:gd name="T85" fmla="*/ 664 h 736"/>
              <a:gd name="T86" fmla="*/ 306 w 306"/>
              <a:gd name="T87" fmla="*/ 648 h 736"/>
              <a:gd name="T88" fmla="*/ 292 w 306"/>
              <a:gd name="T89" fmla="*/ 646 h 736"/>
              <a:gd name="T90" fmla="*/ 284 w 306"/>
              <a:gd name="T91" fmla="*/ 634 h 736"/>
              <a:gd name="T92" fmla="*/ 264 w 306"/>
              <a:gd name="T93" fmla="*/ 630 h 736"/>
              <a:gd name="T94" fmla="*/ 250 w 306"/>
              <a:gd name="T95" fmla="*/ 618 h 736"/>
              <a:gd name="T96" fmla="*/ 248 w 306"/>
              <a:gd name="T97" fmla="*/ 604 h 736"/>
              <a:gd name="T98" fmla="*/ 232 w 306"/>
              <a:gd name="T99" fmla="*/ 592 h 736"/>
              <a:gd name="T100" fmla="*/ 196 w 306"/>
              <a:gd name="T101" fmla="*/ 562 h 736"/>
              <a:gd name="T102" fmla="*/ 182 w 306"/>
              <a:gd name="T103" fmla="*/ 564 h 736"/>
              <a:gd name="T104" fmla="*/ 158 w 306"/>
              <a:gd name="T105" fmla="*/ 538 h 736"/>
              <a:gd name="T106" fmla="*/ 84 w 306"/>
              <a:gd name="T107" fmla="*/ 538 h 7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w 306"/>
              <a:gd name="T163" fmla="*/ 0 h 736"/>
              <a:gd name="T164" fmla="*/ 306 w 306"/>
              <a:gd name="T165" fmla="*/ 736 h 736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T162" t="T163" r="T164" b="T165"/>
            <a:pathLst>
              <a:path w="306" h="736">
                <a:moveTo>
                  <a:pt x="102" y="0"/>
                </a:moveTo>
                <a:lnTo>
                  <a:pt x="100" y="46"/>
                </a:lnTo>
                <a:lnTo>
                  <a:pt x="96" y="100"/>
                </a:lnTo>
                <a:lnTo>
                  <a:pt x="106" y="106"/>
                </a:lnTo>
                <a:lnTo>
                  <a:pt x="110" y="122"/>
                </a:lnTo>
                <a:lnTo>
                  <a:pt x="116" y="132"/>
                </a:lnTo>
                <a:lnTo>
                  <a:pt x="114" y="146"/>
                </a:lnTo>
                <a:lnTo>
                  <a:pt x="108" y="172"/>
                </a:lnTo>
                <a:lnTo>
                  <a:pt x="114" y="184"/>
                </a:lnTo>
                <a:lnTo>
                  <a:pt x="116" y="200"/>
                </a:lnTo>
                <a:lnTo>
                  <a:pt x="104" y="228"/>
                </a:lnTo>
                <a:lnTo>
                  <a:pt x="110" y="248"/>
                </a:lnTo>
                <a:lnTo>
                  <a:pt x="116" y="262"/>
                </a:lnTo>
                <a:lnTo>
                  <a:pt x="122" y="278"/>
                </a:lnTo>
                <a:lnTo>
                  <a:pt x="128" y="288"/>
                </a:lnTo>
                <a:lnTo>
                  <a:pt x="130" y="316"/>
                </a:lnTo>
                <a:lnTo>
                  <a:pt x="122" y="326"/>
                </a:lnTo>
                <a:lnTo>
                  <a:pt x="116" y="342"/>
                </a:lnTo>
                <a:lnTo>
                  <a:pt x="110" y="352"/>
                </a:lnTo>
                <a:lnTo>
                  <a:pt x="106" y="384"/>
                </a:lnTo>
                <a:lnTo>
                  <a:pt x="100" y="406"/>
                </a:lnTo>
                <a:lnTo>
                  <a:pt x="84" y="444"/>
                </a:lnTo>
                <a:lnTo>
                  <a:pt x="82" y="468"/>
                </a:lnTo>
                <a:lnTo>
                  <a:pt x="86" y="492"/>
                </a:lnTo>
                <a:lnTo>
                  <a:pt x="88" y="516"/>
                </a:lnTo>
                <a:lnTo>
                  <a:pt x="80" y="530"/>
                </a:lnTo>
                <a:lnTo>
                  <a:pt x="86" y="540"/>
                </a:lnTo>
                <a:lnTo>
                  <a:pt x="85" y="572"/>
                </a:lnTo>
                <a:lnTo>
                  <a:pt x="3" y="569"/>
                </a:lnTo>
                <a:lnTo>
                  <a:pt x="0" y="680"/>
                </a:lnTo>
                <a:lnTo>
                  <a:pt x="22" y="710"/>
                </a:lnTo>
                <a:lnTo>
                  <a:pt x="70" y="712"/>
                </a:lnTo>
                <a:lnTo>
                  <a:pt x="72" y="680"/>
                </a:lnTo>
                <a:lnTo>
                  <a:pt x="134" y="684"/>
                </a:lnTo>
                <a:lnTo>
                  <a:pt x="150" y="690"/>
                </a:lnTo>
                <a:lnTo>
                  <a:pt x="168" y="700"/>
                </a:lnTo>
                <a:lnTo>
                  <a:pt x="170" y="712"/>
                </a:lnTo>
                <a:lnTo>
                  <a:pt x="184" y="718"/>
                </a:lnTo>
                <a:lnTo>
                  <a:pt x="210" y="736"/>
                </a:lnTo>
                <a:lnTo>
                  <a:pt x="224" y="732"/>
                </a:lnTo>
                <a:lnTo>
                  <a:pt x="248" y="708"/>
                </a:lnTo>
                <a:lnTo>
                  <a:pt x="282" y="678"/>
                </a:lnTo>
                <a:lnTo>
                  <a:pt x="298" y="664"/>
                </a:lnTo>
                <a:lnTo>
                  <a:pt x="306" y="648"/>
                </a:lnTo>
                <a:lnTo>
                  <a:pt x="292" y="646"/>
                </a:lnTo>
                <a:lnTo>
                  <a:pt x="284" y="634"/>
                </a:lnTo>
                <a:lnTo>
                  <a:pt x="264" y="630"/>
                </a:lnTo>
                <a:lnTo>
                  <a:pt x="250" y="618"/>
                </a:lnTo>
                <a:lnTo>
                  <a:pt x="248" y="604"/>
                </a:lnTo>
                <a:lnTo>
                  <a:pt x="232" y="592"/>
                </a:lnTo>
                <a:lnTo>
                  <a:pt x="196" y="562"/>
                </a:lnTo>
                <a:lnTo>
                  <a:pt x="182" y="564"/>
                </a:lnTo>
                <a:lnTo>
                  <a:pt x="158" y="538"/>
                </a:lnTo>
                <a:lnTo>
                  <a:pt x="84" y="53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97" name="Freeform 2021">
            <a:extLst>
              <a:ext uri="{FF2B5EF4-FFF2-40B4-BE49-F238E27FC236}">
                <a16:creationId xmlns:a16="http://schemas.microsoft.com/office/drawing/2014/main" id="{00000000-0008-0000-0800-0000ED110300}"/>
              </a:ext>
            </a:extLst>
          </xdr:cNvPr>
          <xdr:cNvSpPr>
            <a:spLocks/>
          </xdr:cNvSpPr>
        </xdr:nvSpPr>
        <xdr:spPr bwMode="auto">
          <a:xfrm>
            <a:off x="2322" y="1000"/>
            <a:ext cx="238" cy="166"/>
          </a:xfrm>
          <a:custGeom>
            <a:avLst/>
            <a:gdLst>
              <a:gd name="T0" fmla="*/ 0 w 238"/>
              <a:gd name="T1" fmla="*/ 100 h 166"/>
              <a:gd name="T2" fmla="*/ 44 w 238"/>
              <a:gd name="T3" fmla="*/ 100 h 166"/>
              <a:gd name="T4" fmla="*/ 56 w 238"/>
              <a:gd name="T5" fmla="*/ 92 h 166"/>
              <a:gd name="T6" fmla="*/ 70 w 238"/>
              <a:gd name="T7" fmla="*/ 94 h 166"/>
              <a:gd name="T8" fmla="*/ 94 w 238"/>
              <a:gd name="T9" fmla="*/ 106 h 166"/>
              <a:gd name="T10" fmla="*/ 96 w 238"/>
              <a:gd name="T11" fmla="*/ 122 h 166"/>
              <a:gd name="T12" fmla="*/ 146 w 238"/>
              <a:gd name="T13" fmla="*/ 124 h 166"/>
              <a:gd name="T14" fmla="*/ 150 w 238"/>
              <a:gd name="T15" fmla="*/ 166 h 166"/>
              <a:gd name="T16" fmla="*/ 238 w 238"/>
              <a:gd name="T17" fmla="*/ 166 h 166"/>
              <a:gd name="T18" fmla="*/ 228 w 238"/>
              <a:gd name="T19" fmla="*/ 138 h 166"/>
              <a:gd name="T20" fmla="*/ 238 w 238"/>
              <a:gd name="T21" fmla="*/ 116 h 166"/>
              <a:gd name="T22" fmla="*/ 238 w 238"/>
              <a:gd name="T23" fmla="*/ 86 h 166"/>
              <a:gd name="T24" fmla="*/ 206 w 238"/>
              <a:gd name="T25" fmla="*/ 84 h 166"/>
              <a:gd name="T26" fmla="*/ 194 w 238"/>
              <a:gd name="T27" fmla="*/ 44 h 166"/>
              <a:gd name="T28" fmla="*/ 186 w 238"/>
              <a:gd name="T29" fmla="*/ 12 h 166"/>
              <a:gd name="T30" fmla="*/ 130 w 238"/>
              <a:gd name="T31" fmla="*/ 14 h 166"/>
              <a:gd name="T32" fmla="*/ 128 w 238"/>
              <a:gd name="T33" fmla="*/ 0 h 166"/>
              <a:gd name="T34" fmla="*/ 28 w 238"/>
              <a:gd name="T35" fmla="*/ 0 h 16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238"/>
              <a:gd name="T55" fmla="*/ 0 h 166"/>
              <a:gd name="T56" fmla="*/ 238 w 238"/>
              <a:gd name="T57" fmla="*/ 166 h 16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238" h="166">
                <a:moveTo>
                  <a:pt x="0" y="100"/>
                </a:moveTo>
                <a:lnTo>
                  <a:pt x="44" y="100"/>
                </a:lnTo>
                <a:lnTo>
                  <a:pt x="56" y="92"/>
                </a:lnTo>
                <a:lnTo>
                  <a:pt x="70" y="94"/>
                </a:lnTo>
                <a:lnTo>
                  <a:pt x="94" y="106"/>
                </a:lnTo>
                <a:lnTo>
                  <a:pt x="96" y="122"/>
                </a:lnTo>
                <a:lnTo>
                  <a:pt x="146" y="124"/>
                </a:lnTo>
                <a:lnTo>
                  <a:pt x="150" y="166"/>
                </a:lnTo>
                <a:lnTo>
                  <a:pt x="238" y="166"/>
                </a:lnTo>
                <a:lnTo>
                  <a:pt x="228" y="138"/>
                </a:lnTo>
                <a:lnTo>
                  <a:pt x="238" y="116"/>
                </a:lnTo>
                <a:lnTo>
                  <a:pt x="238" y="86"/>
                </a:lnTo>
                <a:lnTo>
                  <a:pt x="206" y="84"/>
                </a:lnTo>
                <a:lnTo>
                  <a:pt x="194" y="44"/>
                </a:lnTo>
                <a:lnTo>
                  <a:pt x="186" y="12"/>
                </a:lnTo>
                <a:lnTo>
                  <a:pt x="130" y="14"/>
                </a:lnTo>
                <a:lnTo>
                  <a:pt x="128" y="0"/>
                </a:lnTo>
                <a:lnTo>
                  <a:pt x="28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98" name="Freeform 2022">
            <a:extLst>
              <a:ext uri="{FF2B5EF4-FFF2-40B4-BE49-F238E27FC236}">
                <a16:creationId xmlns:a16="http://schemas.microsoft.com/office/drawing/2014/main" id="{00000000-0008-0000-0800-0000EE110300}"/>
              </a:ext>
            </a:extLst>
          </xdr:cNvPr>
          <xdr:cNvSpPr>
            <a:spLocks/>
          </xdr:cNvSpPr>
        </xdr:nvSpPr>
        <xdr:spPr bwMode="auto">
          <a:xfrm>
            <a:off x="2692" y="1346"/>
            <a:ext cx="226" cy="378"/>
          </a:xfrm>
          <a:custGeom>
            <a:avLst/>
            <a:gdLst>
              <a:gd name="T0" fmla="*/ 224 w 226"/>
              <a:gd name="T1" fmla="*/ 0 h 378"/>
              <a:gd name="T2" fmla="*/ 226 w 226"/>
              <a:gd name="T3" fmla="*/ 106 h 378"/>
              <a:gd name="T4" fmla="*/ 136 w 226"/>
              <a:gd name="T5" fmla="*/ 106 h 378"/>
              <a:gd name="T6" fmla="*/ 132 w 226"/>
              <a:gd name="T7" fmla="*/ 190 h 378"/>
              <a:gd name="T8" fmla="*/ 58 w 226"/>
              <a:gd name="T9" fmla="*/ 192 h 378"/>
              <a:gd name="T10" fmla="*/ 32 w 226"/>
              <a:gd name="T11" fmla="*/ 270 h 378"/>
              <a:gd name="T12" fmla="*/ 31 w 226"/>
              <a:gd name="T13" fmla="*/ 357 h 378"/>
              <a:gd name="T14" fmla="*/ 14 w 226"/>
              <a:gd name="T15" fmla="*/ 364 h 378"/>
              <a:gd name="T16" fmla="*/ 0 w 226"/>
              <a:gd name="T17" fmla="*/ 378 h 378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26"/>
              <a:gd name="T28" fmla="*/ 0 h 378"/>
              <a:gd name="T29" fmla="*/ 226 w 226"/>
              <a:gd name="T30" fmla="*/ 378 h 378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26" h="378">
                <a:moveTo>
                  <a:pt x="224" y="0"/>
                </a:moveTo>
                <a:lnTo>
                  <a:pt x="226" y="106"/>
                </a:lnTo>
                <a:lnTo>
                  <a:pt x="136" y="106"/>
                </a:lnTo>
                <a:lnTo>
                  <a:pt x="132" y="190"/>
                </a:lnTo>
                <a:lnTo>
                  <a:pt x="58" y="192"/>
                </a:lnTo>
                <a:lnTo>
                  <a:pt x="32" y="270"/>
                </a:lnTo>
                <a:lnTo>
                  <a:pt x="31" y="357"/>
                </a:lnTo>
                <a:lnTo>
                  <a:pt x="14" y="364"/>
                </a:lnTo>
                <a:lnTo>
                  <a:pt x="0" y="37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199" name="Freeform 2023">
            <a:extLst>
              <a:ext uri="{FF2B5EF4-FFF2-40B4-BE49-F238E27FC236}">
                <a16:creationId xmlns:a16="http://schemas.microsoft.com/office/drawing/2014/main" id="{00000000-0008-0000-0800-0000EF110300}"/>
              </a:ext>
            </a:extLst>
          </xdr:cNvPr>
          <xdr:cNvSpPr>
            <a:spLocks/>
          </xdr:cNvSpPr>
        </xdr:nvSpPr>
        <xdr:spPr bwMode="auto">
          <a:xfrm>
            <a:off x="2724" y="1692"/>
            <a:ext cx="82" cy="54"/>
          </a:xfrm>
          <a:custGeom>
            <a:avLst/>
            <a:gdLst>
              <a:gd name="T0" fmla="*/ 0 w 82"/>
              <a:gd name="T1" fmla="*/ 12 h 54"/>
              <a:gd name="T2" fmla="*/ 20 w 82"/>
              <a:gd name="T3" fmla="*/ 12 h 54"/>
              <a:gd name="T4" fmla="*/ 24 w 82"/>
              <a:gd name="T5" fmla="*/ 0 h 54"/>
              <a:gd name="T6" fmla="*/ 82 w 82"/>
              <a:gd name="T7" fmla="*/ 2 h 54"/>
              <a:gd name="T8" fmla="*/ 82 w 82"/>
              <a:gd name="T9" fmla="*/ 54 h 5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82"/>
              <a:gd name="T16" fmla="*/ 0 h 54"/>
              <a:gd name="T17" fmla="*/ 82 w 82"/>
              <a:gd name="T18" fmla="*/ 54 h 5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82" h="54">
                <a:moveTo>
                  <a:pt x="0" y="12"/>
                </a:moveTo>
                <a:lnTo>
                  <a:pt x="20" y="12"/>
                </a:lnTo>
                <a:lnTo>
                  <a:pt x="24" y="0"/>
                </a:lnTo>
                <a:lnTo>
                  <a:pt x="82" y="2"/>
                </a:lnTo>
                <a:lnTo>
                  <a:pt x="82" y="5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0" name="Freeform 2024">
            <a:extLst>
              <a:ext uri="{FF2B5EF4-FFF2-40B4-BE49-F238E27FC236}">
                <a16:creationId xmlns:a16="http://schemas.microsoft.com/office/drawing/2014/main" id="{00000000-0008-0000-0800-0000F0110300}"/>
              </a:ext>
            </a:extLst>
          </xdr:cNvPr>
          <xdr:cNvSpPr>
            <a:spLocks/>
          </xdr:cNvSpPr>
        </xdr:nvSpPr>
        <xdr:spPr bwMode="auto">
          <a:xfrm>
            <a:off x="3351" y="1198"/>
            <a:ext cx="101" cy="136"/>
          </a:xfrm>
          <a:custGeom>
            <a:avLst/>
            <a:gdLst>
              <a:gd name="T0" fmla="*/ 0 w 101"/>
              <a:gd name="T1" fmla="*/ 1 h 136"/>
              <a:gd name="T2" fmla="*/ 73 w 101"/>
              <a:gd name="T3" fmla="*/ 0 h 136"/>
              <a:gd name="T4" fmla="*/ 74 w 101"/>
              <a:gd name="T5" fmla="*/ 94 h 136"/>
              <a:gd name="T6" fmla="*/ 101 w 101"/>
              <a:gd name="T7" fmla="*/ 94 h 136"/>
              <a:gd name="T8" fmla="*/ 101 w 101"/>
              <a:gd name="T9" fmla="*/ 136 h 136"/>
              <a:gd name="T10" fmla="*/ 3 w 101"/>
              <a:gd name="T11" fmla="*/ 136 h 13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01"/>
              <a:gd name="T19" fmla="*/ 0 h 136"/>
              <a:gd name="T20" fmla="*/ 101 w 101"/>
              <a:gd name="T21" fmla="*/ 136 h 1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01" h="136">
                <a:moveTo>
                  <a:pt x="0" y="1"/>
                </a:moveTo>
                <a:lnTo>
                  <a:pt x="73" y="0"/>
                </a:lnTo>
                <a:lnTo>
                  <a:pt x="74" y="94"/>
                </a:lnTo>
                <a:lnTo>
                  <a:pt x="101" y="94"/>
                </a:lnTo>
                <a:lnTo>
                  <a:pt x="101" y="136"/>
                </a:lnTo>
                <a:lnTo>
                  <a:pt x="3" y="136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1" name="Freeform 2025">
            <a:extLst>
              <a:ext uri="{FF2B5EF4-FFF2-40B4-BE49-F238E27FC236}">
                <a16:creationId xmlns:a16="http://schemas.microsoft.com/office/drawing/2014/main" id="{00000000-0008-0000-0800-0000F1110300}"/>
              </a:ext>
            </a:extLst>
          </xdr:cNvPr>
          <xdr:cNvSpPr>
            <a:spLocks/>
          </xdr:cNvSpPr>
        </xdr:nvSpPr>
        <xdr:spPr bwMode="auto">
          <a:xfrm>
            <a:off x="2836" y="1086"/>
            <a:ext cx="514" cy="226"/>
          </a:xfrm>
          <a:custGeom>
            <a:avLst/>
            <a:gdLst>
              <a:gd name="T0" fmla="*/ 0 w 514"/>
              <a:gd name="T1" fmla="*/ 226 h 226"/>
              <a:gd name="T2" fmla="*/ 2 w 514"/>
              <a:gd name="T3" fmla="*/ 64 h 226"/>
              <a:gd name="T4" fmla="*/ 36 w 514"/>
              <a:gd name="T5" fmla="*/ 60 h 226"/>
              <a:gd name="T6" fmla="*/ 36 w 514"/>
              <a:gd name="T7" fmla="*/ 10 h 226"/>
              <a:gd name="T8" fmla="*/ 200 w 514"/>
              <a:gd name="T9" fmla="*/ 14 h 226"/>
              <a:gd name="T10" fmla="*/ 216 w 514"/>
              <a:gd name="T11" fmla="*/ 0 h 226"/>
              <a:gd name="T12" fmla="*/ 514 w 514"/>
              <a:gd name="T13" fmla="*/ 2 h 226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14"/>
              <a:gd name="T22" fmla="*/ 0 h 226"/>
              <a:gd name="T23" fmla="*/ 514 w 514"/>
              <a:gd name="T24" fmla="*/ 226 h 22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14" h="226">
                <a:moveTo>
                  <a:pt x="0" y="226"/>
                </a:moveTo>
                <a:lnTo>
                  <a:pt x="2" y="64"/>
                </a:lnTo>
                <a:lnTo>
                  <a:pt x="36" y="60"/>
                </a:lnTo>
                <a:lnTo>
                  <a:pt x="36" y="10"/>
                </a:lnTo>
                <a:lnTo>
                  <a:pt x="200" y="14"/>
                </a:lnTo>
                <a:lnTo>
                  <a:pt x="216" y="0"/>
                </a:lnTo>
                <a:lnTo>
                  <a:pt x="514" y="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2" name="Freeform 2026">
            <a:extLst>
              <a:ext uri="{FF2B5EF4-FFF2-40B4-BE49-F238E27FC236}">
                <a16:creationId xmlns:a16="http://schemas.microsoft.com/office/drawing/2014/main" id="{00000000-0008-0000-0800-0000F2110300}"/>
              </a:ext>
            </a:extLst>
          </xdr:cNvPr>
          <xdr:cNvSpPr>
            <a:spLocks/>
          </xdr:cNvSpPr>
        </xdr:nvSpPr>
        <xdr:spPr bwMode="auto">
          <a:xfrm>
            <a:off x="2895" y="648"/>
            <a:ext cx="3" cy="449"/>
          </a:xfrm>
          <a:custGeom>
            <a:avLst/>
            <a:gdLst>
              <a:gd name="T0" fmla="*/ 3 w 3"/>
              <a:gd name="T1" fmla="*/ 0 h 449"/>
              <a:gd name="T2" fmla="*/ 0 w 3"/>
              <a:gd name="T3" fmla="*/ 449 h 449"/>
              <a:gd name="T4" fmla="*/ 0 60000 65536"/>
              <a:gd name="T5" fmla="*/ 0 60000 65536"/>
              <a:gd name="T6" fmla="*/ 0 w 3"/>
              <a:gd name="T7" fmla="*/ 0 h 449"/>
              <a:gd name="T8" fmla="*/ 3 w 3"/>
              <a:gd name="T9" fmla="*/ 449 h 449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3" h="449">
                <a:moveTo>
                  <a:pt x="3" y="0"/>
                </a:moveTo>
                <a:lnTo>
                  <a:pt x="0" y="44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3" name="Freeform 2027">
            <a:extLst>
              <a:ext uri="{FF2B5EF4-FFF2-40B4-BE49-F238E27FC236}">
                <a16:creationId xmlns:a16="http://schemas.microsoft.com/office/drawing/2014/main" id="{00000000-0008-0000-0800-0000F3110300}"/>
              </a:ext>
            </a:extLst>
          </xdr:cNvPr>
          <xdr:cNvSpPr>
            <a:spLocks/>
          </xdr:cNvSpPr>
        </xdr:nvSpPr>
        <xdr:spPr bwMode="auto">
          <a:xfrm>
            <a:off x="2898" y="928"/>
            <a:ext cx="320" cy="158"/>
          </a:xfrm>
          <a:custGeom>
            <a:avLst/>
            <a:gdLst>
              <a:gd name="T0" fmla="*/ 0 w 320"/>
              <a:gd name="T1" fmla="*/ 92 h 158"/>
              <a:gd name="T2" fmla="*/ 78 w 320"/>
              <a:gd name="T3" fmla="*/ 94 h 158"/>
              <a:gd name="T4" fmla="*/ 76 w 320"/>
              <a:gd name="T5" fmla="*/ 2 h 158"/>
              <a:gd name="T6" fmla="*/ 318 w 320"/>
              <a:gd name="T7" fmla="*/ 0 h 158"/>
              <a:gd name="T8" fmla="*/ 320 w 320"/>
              <a:gd name="T9" fmla="*/ 78 h 158"/>
              <a:gd name="T10" fmla="*/ 292 w 320"/>
              <a:gd name="T11" fmla="*/ 78 h 158"/>
              <a:gd name="T12" fmla="*/ 294 w 320"/>
              <a:gd name="T13" fmla="*/ 158 h 158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20"/>
              <a:gd name="T22" fmla="*/ 0 h 158"/>
              <a:gd name="T23" fmla="*/ 320 w 320"/>
              <a:gd name="T24" fmla="*/ 158 h 158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20" h="158">
                <a:moveTo>
                  <a:pt x="0" y="92"/>
                </a:moveTo>
                <a:lnTo>
                  <a:pt x="78" y="94"/>
                </a:lnTo>
                <a:lnTo>
                  <a:pt x="76" y="2"/>
                </a:lnTo>
                <a:lnTo>
                  <a:pt x="318" y="0"/>
                </a:lnTo>
                <a:lnTo>
                  <a:pt x="320" y="78"/>
                </a:lnTo>
                <a:lnTo>
                  <a:pt x="292" y="78"/>
                </a:lnTo>
                <a:lnTo>
                  <a:pt x="294" y="15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4" name="Freeform 2028">
            <a:extLst>
              <a:ext uri="{FF2B5EF4-FFF2-40B4-BE49-F238E27FC236}">
                <a16:creationId xmlns:a16="http://schemas.microsoft.com/office/drawing/2014/main" id="{00000000-0008-0000-0800-0000F4110300}"/>
              </a:ext>
            </a:extLst>
          </xdr:cNvPr>
          <xdr:cNvSpPr>
            <a:spLocks/>
          </xdr:cNvSpPr>
        </xdr:nvSpPr>
        <xdr:spPr bwMode="auto">
          <a:xfrm>
            <a:off x="3282" y="844"/>
            <a:ext cx="68" cy="84"/>
          </a:xfrm>
          <a:custGeom>
            <a:avLst/>
            <a:gdLst>
              <a:gd name="T0" fmla="*/ 68 w 68"/>
              <a:gd name="T1" fmla="*/ 0 h 84"/>
              <a:gd name="T2" fmla="*/ 0 w 68"/>
              <a:gd name="T3" fmla="*/ 2 h 84"/>
              <a:gd name="T4" fmla="*/ 2 w 68"/>
              <a:gd name="T5" fmla="*/ 84 h 84"/>
              <a:gd name="T6" fmla="*/ 66 w 68"/>
              <a:gd name="T7" fmla="*/ 84 h 84"/>
              <a:gd name="T8" fmla="*/ 0 60000 65536"/>
              <a:gd name="T9" fmla="*/ 0 60000 65536"/>
              <a:gd name="T10" fmla="*/ 0 60000 65536"/>
              <a:gd name="T11" fmla="*/ 0 60000 65536"/>
              <a:gd name="T12" fmla="*/ 0 w 68"/>
              <a:gd name="T13" fmla="*/ 0 h 84"/>
              <a:gd name="T14" fmla="*/ 68 w 68"/>
              <a:gd name="T15" fmla="*/ 84 h 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68" h="84">
                <a:moveTo>
                  <a:pt x="68" y="0"/>
                </a:moveTo>
                <a:lnTo>
                  <a:pt x="0" y="2"/>
                </a:lnTo>
                <a:lnTo>
                  <a:pt x="2" y="84"/>
                </a:lnTo>
                <a:lnTo>
                  <a:pt x="66" y="8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5" name="Freeform 2029">
            <a:extLst>
              <a:ext uri="{FF2B5EF4-FFF2-40B4-BE49-F238E27FC236}">
                <a16:creationId xmlns:a16="http://schemas.microsoft.com/office/drawing/2014/main" id="{00000000-0008-0000-0800-0000F5110300}"/>
              </a:ext>
            </a:extLst>
          </xdr:cNvPr>
          <xdr:cNvSpPr>
            <a:spLocks/>
          </xdr:cNvSpPr>
        </xdr:nvSpPr>
        <xdr:spPr bwMode="auto">
          <a:xfrm>
            <a:off x="3356" y="646"/>
            <a:ext cx="405" cy="442"/>
          </a:xfrm>
          <a:custGeom>
            <a:avLst/>
            <a:gdLst>
              <a:gd name="T0" fmla="*/ 344 w 405"/>
              <a:gd name="T1" fmla="*/ 0 h 442"/>
              <a:gd name="T2" fmla="*/ 346 w 405"/>
              <a:gd name="T3" fmla="*/ 67 h 442"/>
              <a:gd name="T4" fmla="*/ 374 w 405"/>
              <a:gd name="T5" fmla="*/ 68 h 442"/>
              <a:gd name="T6" fmla="*/ 376 w 405"/>
              <a:gd name="T7" fmla="*/ 110 h 442"/>
              <a:gd name="T8" fmla="*/ 405 w 405"/>
              <a:gd name="T9" fmla="*/ 110 h 442"/>
              <a:gd name="T10" fmla="*/ 403 w 405"/>
              <a:gd name="T11" fmla="*/ 169 h 442"/>
              <a:gd name="T12" fmla="*/ 382 w 405"/>
              <a:gd name="T13" fmla="*/ 170 h 442"/>
              <a:gd name="T14" fmla="*/ 384 w 405"/>
              <a:gd name="T15" fmla="*/ 186 h 442"/>
              <a:gd name="T16" fmla="*/ 404 w 405"/>
              <a:gd name="T17" fmla="*/ 186 h 442"/>
              <a:gd name="T18" fmla="*/ 402 w 405"/>
              <a:gd name="T19" fmla="*/ 272 h 442"/>
              <a:gd name="T20" fmla="*/ 316 w 405"/>
              <a:gd name="T21" fmla="*/ 274 h 442"/>
              <a:gd name="T22" fmla="*/ 316 w 405"/>
              <a:gd name="T23" fmla="*/ 308 h 442"/>
              <a:gd name="T24" fmla="*/ 258 w 405"/>
              <a:gd name="T25" fmla="*/ 308 h 442"/>
              <a:gd name="T26" fmla="*/ 256 w 405"/>
              <a:gd name="T27" fmla="*/ 378 h 442"/>
              <a:gd name="T28" fmla="*/ 210 w 405"/>
              <a:gd name="T29" fmla="*/ 377 h 442"/>
              <a:gd name="T30" fmla="*/ 211 w 405"/>
              <a:gd name="T31" fmla="*/ 442 h 442"/>
              <a:gd name="T32" fmla="*/ 0 w 405"/>
              <a:gd name="T33" fmla="*/ 440 h 44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405"/>
              <a:gd name="T52" fmla="*/ 0 h 442"/>
              <a:gd name="T53" fmla="*/ 405 w 405"/>
              <a:gd name="T54" fmla="*/ 442 h 44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405" h="442">
                <a:moveTo>
                  <a:pt x="344" y="0"/>
                </a:moveTo>
                <a:lnTo>
                  <a:pt x="346" y="67"/>
                </a:lnTo>
                <a:lnTo>
                  <a:pt x="374" y="68"/>
                </a:lnTo>
                <a:lnTo>
                  <a:pt x="376" y="110"/>
                </a:lnTo>
                <a:lnTo>
                  <a:pt x="405" y="110"/>
                </a:lnTo>
                <a:lnTo>
                  <a:pt x="403" y="169"/>
                </a:lnTo>
                <a:lnTo>
                  <a:pt x="382" y="170"/>
                </a:lnTo>
                <a:lnTo>
                  <a:pt x="384" y="186"/>
                </a:lnTo>
                <a:lnTo>
                  <a:pt x="404" y="186"/>
                </a:lnTo>
                <a:lnTo>
                  <a:pt x="402" y="272"/>
                </a:lnTo>
                <a:lnTo>
                  <a:pt x="316" y="274"/>
                </a:lnTo>
                <a:lnTo>
                  <a:pt x="316" y="308"/>
                </a:lnTo>
                <a:lnTo>
                  <a:pt x="258" y="308"/>
                </a:lnTo>
                <a:lnTo>
                  <a:pt x="256" y="378"/>
                </a:lnTo>
                <a:lnTo>
                  <a:pt x="210" y="377"/>
                </a:lnTo>
                <a:lnTo>
                  <a:pt x="211" y="442"/>
                </a:lnTo>
                <a:lnTo>
                  <a:pt x="0" y="44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6" name="Freeform 2030">
            <a:extLst>
              <a:ext uri="{FF2B5EF4-FFF2-40B4-BE49-F238E27FC236}">
                <a16:creationId xmlns:a16="http://schemas.microsoft.com/office/drawing/2014/main" id="{00000000-0008-0000-0800-0000F6110300}"/>
              </a:ext>
            </a:extLst>
          </xdr:cNvPr>
          <xdr:cNvSpPr>
            <a:spLocks/>
          </xdr:cNvSpPr>
        </xdr:nvSpPr>
        <xdr:spPr bwMode="auto">
          <a:xfrm>
            <a:off x="3314" y="1476"/>
            <a:ext cx="184" cy="269"/>
          </a:xfrm>
          <a:custGeom>
            <a:avLst/>
            <a:gdLst>
              <a:gd name="T0" fmla="*/ 184 w 184"/>
              <a:gd name="T1" fmla="*/ 0 h 269"/>
              <a:gd name="T2" fmla="*/ 184 w 184"/>
              <a:gd name="T3" fmla="*/ 65 h 269"/>
              <a:gd name="T4" fmla="*/ 126 w 184"/>
              <a:gd name="T5" fmla="*/ 64 h 269"/>
              <a:gd name="T6" fmla="*/ 124 w 184"/>
              <a:gd name="T7" fmla="*/ 94 h 269"/>
              <a:gd name="T8" fmla="*/ 63 w 184"/>
              <a:gd name="T9" fmla="*/ 95 h 269"/>
              <a:gd name="T10" fmla="*/ 63 w 184"/>
              <a:gd name="T11" fmla="*/ 137 h 269"/>
              <a:gd name="T12" fmla="*/ 24 w 184"/>
              <a:gd name="T13" fmla="*/ 137 h 269"/>
              <a:gd name="T14" fmla="*/ 24 w 184"/>
              <a:gd name="T15" fmla="*/ 198 h 269"/>
              <a:gd name="T16" fmla="*/ 0 w 184"/>
              <a:gd name="T17" fmla="*/ 198 h 269"/>
              <a:gd name="T18" fmla="*/ 0 w 184"/>
              <a:gd name="T19" fmla="*/ 269 h 269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84"/>
              <a:gd name="T31" fmla="*/ 0 h 269"/>
              <a:gd name="T32" fmla="*/ 184 w 184"/>
              <a:gd name="T33" fmla="*/ 269 h 269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84" h="269">
                <a:moveTo>
                  <a:pt x="184" y="0"/>
                </a:moveTo>
                <a:lnTo>
                  <a:pt x="184" y="65"/>
                </a:lnTo>
                <a:lnTo>
                  <a:pt x="126" y="64"/>
                </a:lnTo>
                <a:lnTo>
                  <a:pt x="124" y="94"/>
                </a:lnTo>
                <a:lnTo>
                  <a:pt x="63" y="95"/>
                </a:lnTo>
                <a:lnTo>
                  <a:pt x="63" y="137"/>
                </a:lnTo>
                <a:lnTo>
                  <a:pt x="24" y="137"/>
                </a:lnTo>
                <a:lnTo>
                  <a:pt x="24" y="198"/>
                </a:lnTo>
                <a:lnTo>
                  <a:pt x="0" y="198"/>
                </a:lnTo>
                <a:lnTo>
                  <a:pt x="0" y="26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7" name="Freeform 2031">
            <a:extLst>
              <a:ext uri="{FF2B5EF4-FFF2-40B4-BE49-F238E27FC236}">
                <a16:creationId xmlns:a16="http://schemas.microsoft.com/office/drawing/2014/main" id="{00000000-0008-0000-0800-0000F7110300}"/>
              </a:ext>
            </a:extLst>
          </xdr:cNvPr>
          <xdr:cNvSpPr>
            <a:spLocks/>
          </xdr:cNvSpPr>
        </xdr:nvSpPr>
        <xdr:spPr bwMode="auto">
          <a:xfrm>
            <a:off x="1634" y="626"/>
            <a:ext cx="396" cy="726"/>
          </a:xfrm>
          <a:custGeom>
            <a:avLst/>
            <a:gdLst>
              <a:gd name="T0" fmla="*/ 0 w 396"/>
              <a:gd name="T1" fmla="*/ 0 h 726"/>
              <a:gd name="T2" fmla="*/ 0 w 396"/>
              <a:gd name="T3" fmla="*/ 118 h 726"/>
              <a:gd name="T4" fmla="*/ 54 w 396"/>
              <a:gd name="T5" fmla="*/ 118 h 726"/>
              <a:gd name="T6" fmla="*/ 86 w 396"/>
              <a:gd name="T7" fmla="*/ 172 h 726"/>
              <a:gd name="T8" fmla="*/ 86 w 396"/>
              <a:gd name="T9" fmla="*/ 208 h 726"/>
              <a:gd name="T10" fmla="*/ 52 w 396"/>
              <a:gd name="T11" fmla="*/ 210 h 726"/>
              <a:gd name="T12" fmla="*/ 50 w 396"/>
              <a:gd name="T13" fmla="*/ 442 h 726"/>
              <a:gd name="T14" fmla="*/ 102 w 396"/>
              <a:gd name="T15" fmla="*/ 442 h 726"/>
              <a:gd name="T16" fmla="*/ 102 w 396"/>
              <a:gd name="T17" fmla="*/ 512 h 726"/>
              <a:gd name="T18" fmla="*/ 118 w 396"/>
              <a:gd name="T19" fmla="*/ 530 h 726"/>
              <a:gd name="T20" fmla="*/ 110 w 396"/>
              <a:gd name="T21" fmla="*/ 608 h 726"/>
              <a:gd name="T22" fmla="*/ 124 w 396"/>
              <a:gd name="T23" fmla="*/ 636 h 726"/>
              <a:gd name="T24" fmla="*/ 126 w 396"/>
              <a:gd name="T25" fmla="*/ 726 h 726"/>
              <a:gd name="T26" fmla="*/ 170 w 396"/>
              <a:gd name="T27" fmla="*/ 726 h 726"/>
              <a:gd name="T28" fmla="*/ 170 w 396"/>
              <a:gd name="T29" fmla="*/ 708 h 726"/>
              <a:gd name="T30" fmla="*/ 277 w 396"/>
              <a:gd name="T31" fmla="*/ 708 h 726"/>
              <a:gd name="T32" fmla="*/ 279 w 396"/>
              <a:gd name="T33" fmla="*/ 634 h 726"/>
              <a:gd name="T34" fmla="*/ 330 w 396"/>
              <a:gd name="T35" fmla="*/ 634 h 726"/>
              <a:gd name="T36" fmla="*/ 330 w 396"/>
              <a:gd name="T37" fmla="*/ 508 h 726"/>
              <a:gd name="T38" fmla="*/ 316 w 396"/>
              <a:gd name="T39" fmla="*/ 507 h 726"/>
              <a:gd name="T40" fmla="*/ 318 w 396"/>
              <a:gd name="T41" fmla="*/ 418 h 726"/>
              <a:gd name="T42" fmla="*/ 387 w 396"/>
              <a:gd name="T43" fmla="*/ 418 h 726"/>
              <a:gd name="T44" fmla="*/ 386 w 396"/>
              <a:gd name="T45" fmla="*/ 346 h 726"/>
              <a:gd name="T46" fmla="*/ 344 w 396"/>
              <a:gd name="T47" fmla="*/ 296 h 726"/>
              <a:gd name="T48" fmla="*/ 340 w 396"/>
              <a:gd name="T49" fmla="*/ 270 h 726"/>
              <a:gd name="T50" fmla="*/ 348 w 396"/>
              <a:gd name="T51" fmla="*/ 256 h 726"/>
              <a:gd name="T52" fmla="*/ 364 w 396"/>
              <a:gd name="T53" fmla="*/ 238 h 726"/>
              <a:gd name="T54" fmla="*/ 380 w 396"/>
              <a:gd name="T55" fmla="*/ 228 h 726"/>
              <a:gd name="T56" fmla="*/ 396 w 396"/>
              <a:gd name="T57" fmla="*/ 222 h 726"/>
              <a:gd name="T58" fmla="*/ 392 w 396"/>
              <a:gd name="T59" fmla="*/ 200 h 726"/>
              <a:gd name="T60" fmla="*/ 386 w 396"/>
              <a:gd name="T61" fmla="*/ 184 h 726"/>
              <a:gd name="T62" fmla="*/ 384 w 396"/>
              <a:gd name="T63" fmla="*/ 170 h 726"/>
              <a:gd name="T64" fmla="*/ 296 w 396"/>
              <a:gd name="T65" fmla="*/ 94 h 726"/>
              <a:gd name="T66" fmla="*/ 292 w 396"/>
              <a:gd name="T67" fmla="*/ 48 h 726"/>
              <a:gd name="T68" fmla="*/ 230 w 396"/>
              <a:gd name="T69" fmla="*/ 36 h 726"/>
              <a:gd name="T70" fmla="*/ 222 w 396"/>
              <a:gd name="T71" fmla="*/ 2 h 72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396"/>
              <a:gd name="T109" fmla="*/ 0 h 726"/>
              <a:gd name="T110" fmla="*/ 396 w 396"/>
              <a:gd name="T111" fmla="*/ 726 h 72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396" h="726">
                <a:moveTo>
                  <a:pt x="0" y="0"/>
                </a:moveTo>
                <a:lnTo>
                  <a:pt x="0" y="118"/>
                </a:lnTo>
                <a:lnTo>
                  <a:pt x="54" y="118"/>
                </a:lnTo>
                <a:lnTo>
                  <a:pt x="86" y="172"/>
                </a:lnTo>
                <a:lnTo>
                  <a:pt x="86" y="208"/>
                </a:lnTo>
                <a:lnTo>
                  <a:pt x="52" y="210"/>
                </a:lnTo>
                <a:lnTo>
                  <a:pt x="50" y="442"/>
                </a:lnTo>
                <a:lnTo>
                  <a:pt x="102" y="442"/>
                </a:lnTo>
                <a:lnTo>
                  <a:pt x="102" y="512"/>
                </a:lnTo>
                <a:lnTo>
                  <a:pt x="118" y="530"/>
                </a:lnTo>
                <a:lnTo>
                  <a:pt x="110" y="608"/>
                </a:lnTo>
                <a:lnTo>
                  <a:pt x="124" y="636"/>
                </a:lnTo>
                <a:lnTo>
                  <a:pt x="126" y="726"/>
                </a:lnTo>
                <a:lnTo>
                  <a:pt x="170" y="726"/>
                </a:lnTo>
                <a:lnTo>
                  <a:pt x="170" y="708"/>
                </a:lnTo>
                <a:lnTo>
                  <a:pt x="277" y="708"/>
                </a:lnTo>
                <a:lnTo>
                  <a:pt x="279" y="634"/>
                </a:lnTo>
                <a:lnTo>
                  <a:pt x="330" y="634"/>
                </a:lnTo>
                <a:lnTo>
                  <a:pt x="330" y="508"/>
                </a:lnTo>
                <a:lnTo>
                  <a:pt x="316" y="507"/>
                </a:lnTo>
                <a:lnTo>
                  <a:pt x="318" y="418"/>
                </a:lnTo>
                <a:lnTo>
                  <a:pt x="387" y="418"/>
                </a:lnTo>
                <a:lnTo>
                  <a:pt x="386" y="346"/>
                </a:lnTo>
                <a:lnTo>
                  <a:pt x="344" y="296"/>
                </a:lnTo>
                <a:lnTo>
                  <a:pt x="340" y="270"/>
                </a:lnTo>
                <a:lnTo>
                  <a:pt x="348" y="256"/>
                </a:lnTo>
                <a:lnTo>
                  <a:pt x="364" y="238"/>
                </a:lnTo>
                <a:lnTo>
                  <a:pt x="380" y="228"/>
                </a:lnTo>
                <a:lnTo>
                  <a:pt x="396" y="222"/>
                </a:lnTo>
                <a:lnTo>
                  <a:pt x="392" y="200"/>
                </a:lnTo>
                <a:lnTo>
                  <a:pt x="386" y="184"/>
                </a:lnTo>
                <a:lnTo>
                  <a:pt x="384" y="170"/>
                </a:lnTo>
                <a:lnTo>
                  <a:pt x="296" y="94"/>
                </a:lnTo>
                <a:lnTo>
                  <a:pt x="292" y="48"/>
                </a:lnTo>
                <a:lnTo>
                  <a:pt x="230" y="36"/>
                </a:lnTo>
                <a:lnTo>
                  <a:pt x="222" y="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8" name="Freeform 2032">
            <a:extLst>
              <a:ext uri="{FF2B5EF4-FFF2-40B4-BE49-F238E27FC236}">
                <a16:creationId xmlns:a16="http://schemas.microsoft.com/office/drawing/2014/main" id="{00000000-0008-0000-0800-0000F8110300}"/>
              </a:ext>
            </a:extLst>
          </xdr:cNvPr>
          <xdr:cNvSpPr>
            <a:spLocks/>
          </xdr:cNvSpPr>
        </xdr:nvSpPr>
        <xdr:spPr bwMode="auto">
          <a:xfrm>
            <a:off x="1920" y="1286"/>
            <a:ext cx="245" cy="60"/>
          </a:xfrm>
          <a:custGeom>
            <a:avLst/>
            <a:gdLst>
              <a:gd name="T0" fmla="*/ 0 w 245"/>
              <a:gd name="T1" fmla="*/ 22 h 60"/>
              <a:gd name="T2" fmla="*/ 22 w 245"/>
              <a:gd name="T3" fmla="*/ 20 h 60"/>
              <a:gd name="T4" fmla="*/ 40 w 245"/>
              <a:gd name="T5" fmla="*/ 20 h 60"/>
              <a:gd name="T6" fmla="*/ 54 w 245"/>
              <a:gd name="T7" fmla="*/ 0 h 60"/>
              <a:gd name="T8" fmla="*/ 74 w 245"/>
              <a:gd name="T9" fmla="*/ 30 h 60"/>
              <a:gd name="T10" fmla="*/ 156 w 245"/>
              <a:gd name="T11" fmla="*/ 32 h 60"/>
              <a:gd name="T12" fmla="*/ 162 w 245"/>
              <a:gd name="T13" fmla="*/ 60 h 60"/>
              <a:gd name="T14" fmla="*/ 244 w 245"/>
              <a:gd name="T15" fmla="*/ 60 h 60"/>
              <a:gd name="T16" fmla="*/ 245 w 245"/>
              <a:gd name="T17" fmla="*/ 3 h 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45"/>
              <a:gd name="T28" fmla="*/ 0 h 60"/>
              <a:gd name="T29" fmla="*/ 245 w 245"/>
              <a:gd name="T30" fmla="*/ 60 h 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45" h="60">
                <a:moveTo>
                  <a:pt x="0" y="22"/>
                </a:moveTo>
                <a:lnTo>
                  <a:pt x="22" y="20"/>
                </a:lnTo>
                <a:lnTo>
                  <a:pt x="40" y="20"/>
                </a:lnTo>
                <a:lnTo>
                  <a:pt x="54" y="0"/>
                </a:lnTo>
                <a:lnTo>
                  <a:pt x="74" y="30"/>
                </a:lnTo>
                <a:lnTo>
                  <a:pt x="156" y="32"/>
                </a:lnTo>
                <a:lnTo>
                  <a:pt x="162" y="60"/>
                </a:lnTo>
                <a:lnTo>
                  <a:pt x="244" y="60"/>
                </a:lnTo>
                <a:lnTo>
                  <a:pt x="245" y="3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09" name="Freeform 2033">
            <a:extLst>
              <a:ext uri="{FF2B5EF4-FFF2-40B4-BE49-F238E27FC236}">
                <a16:creationId xmlns:a16="http://schemas.microsoft.com/office/drawing/2014/main" id="{00000000-0008-0000-0800-0000F9110300}"/>
              </a:ext>
            </a:extLst>
          </xdr:cNvPr>
          <xdr:cNvSpPr>
            <a:spLocks/>
          </xdr:cNvSpPr>
        </xdr:nvSpPr>
        <xdr:spPr bwMode="auto">
          <a:xfrm>
            <a:off x="1202" y="1014"/>
            <a:ext cx="484" cy="44"/>
          </a:xfrm>
          <a:custGeom>
            <a:avLst/>
            <a:gdLst>
              <a:gd name="T0" fmla="*/ 0 w 484"/>
              <a:gd name="T1" fmla="*/ 0 h 44"/>
              <a:gd name="T2" fmla="*/ 230 w 484"/>
              <a:gd name="T3" fmla="*/ 2 h 44"/>
              <a:gd name="T4" fmla="*/ 231 w 484"/>
              <a:gd name="T5" fmla="*/ 44 h 44"/>
              <a:gd name="T6" fmla="*/ 484 w 484"/>
              <a:gd name="T7" fmla="*/ 42 h 44"/>
              <a:gd name="T8" fmla="*/ 0 60000 65536"/>
              <a:gd name="T9" fmla="*/ 0 60000 65536"/>
              <a:gd name="T10" fmla="*/ 0 60000 65536"/>
              <a:gd name="T11" fmla="*/ 0 60000 65536"/>
              <a:gd name="T12" fmla="*/ 0 w 484"/>
              <a:gd name="T13" fmla="*/ 0 h 44"/>
              <a:gd name="T14" fmla="*/ 484 w 484"/>
              <a:gd name="T15" fmla="*/ 44 h 4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484" h="44">
                <a:moveTo>
                  <a:pt x="0" y="0"/>
                </a:moveTo>
                <a:lnTo>
                  <a:pt x="230" y="2"/>
                </a:lnTo>
                <a:lnTo>
                  <a:pt x="231" y="44"/>
                </a:lnTo>
                <a:lnTo>
                  <a:pt x="484" y="4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0" name="Freeform 2034">
            <a:extLst>
              <a:ext uri="{FF2B5EF4-FFF2-40B4-BE49-F238E27FC236}">
                <a16:creationId xmlns:a16="http://schemas.microsoft.com/office/drawing/2014/main" id="{00000000-0008-0000-0800-0000FA110300}"/>
              </a:ext>
            </a:extLst>
          </xdr:cNvPr>
          <xdr:cNvSpPr>
            <a:spLocks/>
          </xdr:cNvSpPr>
        </xdr:nvSpPr>
        <xdr:spPr bwMode="auto">
          <a:xfrm>
            <a:off x="1913" y="1337"/>
            <a:ext cx="1" cy="198"/>
          </a:xfrm>
          <a:custGeom>
            <a:avLst/>
            <a:gdLst>
              <a:gd name="T0" fmla="*/ 0 w 1"/>
              <a:gd name="T1" fmla="*/ 0 h 198"/>
              <a:gd name="T2" fmla="*/ 0 w 1"/>
              <a:gd name="T3" fmla="*/ 198 h 198"/>
              <a:gd name="T4" fmla="*/ 0 60000 65536"/>
              <a:gd name="T5" fmla="*/ 0 60000 65536"/>
              <a:gd name="T6" fmla="*/ 0 w 1"/>
              <a:gd name="T7" fmla="*/ 0 h 198"/>
              <a:gd name="T8" fmla="*/ 1 w 1"/>
              <a:gd name="T9" fmla="*/ 198 h 198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1" h="198">
                <a:moveTo>
                  <a:pt x="0" y="0"/>
                </a:moveTo>
                <a:lnTo>
                  <a:pt x="0" y="19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1" name="Freeform 2035">
            <a:extLst>
              <a:ext uri="{FF2B5EF4-FFF2-40B4-BE49-F238E27FC236}">
                <a16:creationId xmlns:a16="http://schemas.microsoft.com/office/drawing/2014/main" id="{00000000-0008-0000-0800-0000FB110300}"/>
              </a:ext>
            </a:extLst>
          </xdr:cNvPr>
          <xdr:cNvSpPr>
            <a:spLocks/>
          </xdr:cNvSpPr>
        </xdr:nvSpPr>
        <xdr:spPr bwMode="auto">
          <a:xfrm>
            <a:off x="3740" y="1839"/>
            <a:ext cx="204" cy="119"/>
          </a:xfrm>
          <a:custGeom>
            <a:avLst/>
            <a:gdLst>
              <a:gd name="T0" fmla="*/ 0 w 204"/>
              <a:gd name="T1" fmla="*/ 0 h 119"/>
              <a:gd name="T2" fmla="*/ 26 w 204"/>
              <a:gd name="T3" fmla="*/ 1 h 119"/>
              <a:gd name="T4" fmla="*/ 28 w 204"/>
              <a:gd name="T5" fmla="*/ 31 h 119"/>
              <a:gd name="T6" fmla="*/ 14 w 204"/>
              <a:gd name="T7" fmla="*/ 31 h 119"/>
              <a:gd name="T8" fmla="*/ 14 w 204"/>
              <a:gd name="T9" fmla="*/ 51 h 119"/>
              <a:gd name="T10" fmla="*/ 28 w 204"/>
              <a:gd name="T11" fmla="*/ 49 h 119"/>
              <a:gd name="T12" fmla="*/ 30 w 204"/>
              <a:gd name="T13" fmla="*/ 89 h 119"/>
              <a:gd name="T14" fmla="*/ 128 w 204"/>
              <a:gd name="T15" fmla="*/ 89 h 119"/>
              <a:gd name="T16" fmla="*/ 132 w 204"/>
              <a:gd name="T17" fmla="*/ 105 h 119"/>
              <a:gd name="T18" fmla="*/ 164 w 204"/>
              <a:gd name="T19" fmla="*/ 105 h 119"/>
              <a:gd name="T20" fmla="*/ 166 w 204"/>
              <a:gd name="T21" fmla="*/ 119 h 119"/>
              <a:gd name="T22" fmla="*/ 204 w 204"/>
              <a:gd name="T23" fmla="*/ 119 h 119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204"/>
              <a:gd name="T37" fmla="*/ 0 h 119"/>
              <a:gd name="T38" fmla="*/ 204 w 204"/>
              <a:gd name="T39" fmla="*/ 119 h 119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04" h="119">
                <a:moveTo>
                  <a:pt x="0" y="0"/>
                </a:moveTo>
                <a:lnTo>
                  <a:pt x="26" y="1"/>
                </a:lnTo>
                <a:lnTo>
                  <a:pt x="28" y="31"/>
                </a:lnTo>
                <a:lnTo>
                  <a:pt x="14" y="31"/>
                </a:lnTo>
                <a:lnTo>
                  <a:pt x="14" y="51"/>
                </a:lnTo>
                <a:lnTo>
                  <a:pt x="28" y="49"/>
                </a:lnTo>
                <a:lnTo>
                  <a:pt x="30" y="89"/>
                </a:lnTo>
                <a:lnTo>
                  <a:pt x="128" y="89"/>
                </a:lnTo>
                <a:cubicBezTo>
                  <a:pt x="129" y="94"/>
                  <a:pt x="132" y="105"/>
                  <a:pt x="132" y="105"/>
                </a:cubicBezTo>
                <a:lnTo>
                  <a:pt x="164" y="105"/>
                </a:lnTo>
                <a:lnTo>
                  <a:pt x="166" y="119"/>
                </a:lnTo>
                <a:lnTo>
                  <a:pt x="204" y="11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2" name="Freeform 2036">
            <a:extLst>
              <a:ext uri="{FF2B5EF4-FFF2-40B4-BE49-F238E27FC236}">
                <a16:creationId xmlns:a16="http://schemas.microsoft.com/office/drawing/2014/main" id="{00000000-0008-0000-0800-0000FC110300}"/>
              </a:ext>
            </a:extLst>
          </xdr:cNvPr>
          <xdr:cNvSpPr>
            <a:spLocks/>
          </xdr:cNvSpPr>
        </xdr:nvSpPr>
        <xdr:spPr bwMode="auto">
          <a:xfrm>
            <a:off x="3652" y="1934"/>
            <a:ext cx="84" cy="163"/>
          </a:xfrm>
          <a:custGeom>
            <a:avLst/>
            <a:gdLst>
              <a:gd name="T0" fmla="*/ 84 w 84"/>
              <a:gd name="T1" fmla="*/ 0 h 163"/>
              <a:gd name="T2" fmla="*/ 23 w 84"/>
              <a:gd name="T3" fmla="*/ 0 h 163"/>
              <a:gd name="T4" fmla="*/ 24 w 84"/>
              <a:gd name="T5" fmla="*/ 74 h 163"/>
              <a:gd name="T6" fmla="*/ 0 w 84"/>
              <a:gd name="T7" fmla="*/ 74 h 163"/>
              <a:gd name="T8" fmla="*/ 1 w 84"/>
              <a:gd name="T9" fmla="*/ 163 h 163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84"/>
              <a:gd name="T16" fmla="*/ 0 h 163"/>
              <a:gd name="T17" fmla="*/ 84 w 84"/>
              <a:gd name="T18" fmla="*/ 163 h 163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84" h="163">
                <a:moveTo>
                  <a:pt x="84" y="0"/>
                </a:moveTo>
                <a:lnTo>
                  <a:pt x="23" y="0"/>
                </a:lnTo>
                <a:lnTo>
                  <a:pt x="24" y="74"/>
                </a:lnTo>
                <a:lnTo>
                  <a:pt x="0" y="74"/>
                </a:lnTo>
                <a:lnTo>
                  <a:pt x="1" y="163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3" name="Freeform 2037">
            <a:extLst>
              <a:ext uri="{FF2B5EF4-FFF2-40B4-BE49-F238E27FC236}">
                <a16:creationId xmlns:a16="http://schemas.microsoft.com/office/drawing/2014/main" id="{00000000-0008-0000-0800-0000FD110300}"/>
              </a:ext>
            </a:extLst>
          </xdr:cNvPr>
          <xdr:cNvSpPr>
            <a:spLocks/>
          </xdr:cNvSpPr>
        </xdr:nvSpPr>
        <xdr:spPr bwMode="auto">
          <a:xfrm>
            <a:off x="3590" y="2061"/>
            <a:ext cx="354" cy="153"/>
          </a:xfrm>
          <a:custGeom>
            <a:avLst/>
            <a:gdLst>
              <a:gd name="T0" fmla="*/ 0 w 354"/>
              <a:gd name="T1" fmla="*/ 67 h 153"/>
              <a:gd name="T2" fmla="*/ 18 w 354"/>
              <a:gd name="T3" fmla="*/ 87 h 153"/>
              <a:gd name="T4" fmla="*/ 34 w 354"/>
              <a:gd name="T5" fmla="*/ 89 h 153"/>
              <a:gd name="T6" fmla="*/ 38 w 354"/>
              <a:gd name="T7" fmla="*/ 109 h 153"/>
              <a:gd name="T8" fmla="*/ 116 w 354"/>
              <a:gd name="T9" fmla="*/ 109 h 153"/>
              <a:gd name="T10" fmla="*/ 134 w 354"/>
              <a:gd name="T11" fmla="*/ 115 h 153"/>
              <a:gd name="T12" fmla="*/ 140 w 354"/>
              <a:gd name="T13" fmla="*/ 153 h 153"/>
              <a:gd name="T14" fmla="*/ 166 w 354"/>
              <a:gd name="T15" fmla="*/ 143 h 153"/>
              <a:gd name="T16" fmla="*/ 190 w 354"/>
              <a:gd name="T17" fmla="*/ 141 h 153"/>
              <a:gd name="T18" fmla="*/ 186 w 354"/>
              <a:gd name="T19" fmla="*/ 111 h 153"/>
              <a:gd name="T20" fmla="*/ 170 w 354"/>
              <a:gd name="T21" fmla="*/ 99 h 153"/>
              <a:gd name="T22" fmla="*/ 196 w 354"/>
              <a:gd name="T23" fmla="*/ 93 h 153"/>
              <a:gd name="T24" fmla="*/ 194 w 354"/>
              <a:gd name="T25" fmla="*/ 11 h 153"/>
              <a:gd name="T26" fmla="*/ 246 w 354"/>
              <a:gd name="T27" fmla="*/ 11 h 153"/>
              <a:gd name="T28" fmla="*/ 270 w 354"/>
              <a:gd name="T29" fmla="*/ 15 h 153"/>
              <a:gd name="T30" fmla="*/ 302 w 354"/>
              <a:gd name="T31" fmla="*/ 41 h 153"/>
              <a:gd name="T32" fmla="*/ 328 w 354"/>
              <a:gd name="T33" fmla="*/ 43 h 153"/>
              <a:gd name="T34" fmla="*/ 342 w 354"/>
              <a:gd name="T35" fmla="*/ 23 h 153"/>
              <a:gd name="T36" fmla="*/ 344 w 354"/>
              <a:gd name="T37" fmla="*/ 1 h 153"/>
              <a:gd name="T38" fmla="*/ 354 w 354"/>
              <a:gd name="T39" fmla="*/ 0 h 15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354"/>
              <a:gd name="T61" fmla="*/ 0 h 153"/>
              <a:gd name="T62" fmla="*/ 354 w 354"/>
              <a:gd name="T63" fmla="*/ 153 h 15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354" h="153">
                <a:moveTo>
                  <a:pt x="0" y="67"/>
                </a:moveTo>
                <a:lnTo>
                  <a:pt x="18" y="87"/>
                </a:lnTo>
                <a:lnTo>
                  <a:pt x="34" y="89"/>
                </a:lnTo>
                <a:lnTo>
                  <a:pt x="38" y="109"/>
                </a:lnTo>
                <a:lnTo>
                  <a:pt x="116" y="109"/>
                </a:lnTo>
                <a:lnTo>
                  <a:pt x="134" y="115"/>
                </a:lnTo>
                <a:lnTo>
                  <a:pt x="140" y="153"/>
                </a:lnTo>
                <a:lnTo>
                  <a:pt x="166" y="143"/>
                </a:lnTo>
                <a:lnTo>
                  <a:pt x="190" y="141"/>
                </a:lnTo>
                <a:lnTo>
                  <a:pt x="186" y="111"/>
                </a:lnTo>
                <a:lnTo>
                  <a:pt x="170" y="99"/>
                </a:lnTo>
                <a:lnTo>
                  <a:pt x="196" y="93"/>
                </a:lnTo>
                <a:lnTo>
                  <a:pt x="194" y="11"/>
                </a:lnTo>
                <a:lnTo>
                  <a:pt x="246" y="11"/>
                </a:lnTo>
                <a:lnTo>
                  <a:pt x="270" y="15"/>
                </a:lnTo>
                <a:lnTo>
                  <a:pt x="302" y="41"/>
                </a:lnTo>
                <a:lnTo>
                  <a:pt x="328" y="43"/>
                </a:lnTo>
                <a:lnTo>
                  <a:pt x="342" y="23"/>
                </a:lnTo>
                <a:lnTo>
                  <a:pt x="344" y="1"/>
                </a:lnTo>
                <a:cubicBezTo>
                  <a:pt x="348" y="0"/>
                  <a:pt x="352" y="0"/>
                  <a:pt x="354" y="0"/>
                </a:cubicBez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4" name="Freeform 2038">
            <a:extLst>
              <a:ext uri="{FF2B5EF4-FFF2-40B4-BE49-F238E27FC236}">
                <a16:creationId xmlns:a16="http://schemas.microsoft.com/office/drawing/2014/main" id="{00000000-0008-0000-0800-0000FE110300}"/>
              </a:ext>
            </a:extLst>
          </xdr:cNvPr>
          <xdr:cNvSpPr>
            <a:spLocks/>
          </xdr:cNvSpPr>
        </xdr:nvSpPr>
        <xdr:spPr bwMode="auto">
          <a:xfrm>
            <a:off x="3648" y="2169"/>
            <a:ext cx="154" cy="373"/>
          </a:xfrm>
          <a:custGeom>
            <a:avLst/>
            <a:gdLst>
              <a:gd name="T0" fmla="*/ 57 w 154"/>
              <a:gd name="T1" fmla="*/ 0 h 373"/>
              <a:gd name="T2" fmla="*/ 56 w 154"/>
              <a:gd name="T3" fmla="*/ 69 h 373"/>
              <a:gd name="T4" fmla="*/ 4 w 154"/>
              <a:gd name="T5" fmla="*/ 69 h 373"/>
              <a:gd name="T6" fmla="*/ 0 w 154"/>
              <a:gd name="T7" fmla="*/ 203 h 373"/>
              <a:gd name="T8" fmla="*/ 18 w 154"/>
              <a:gd name="T9" fmla="*/ 194 h 373"/>
              <a:gd name="T10" fmla="*/ 11 w 154"/>
              <a:gd name="T11" fmla="*/ 185 h 373"/>
              <a:gd name="T12" fmla="*/ 46 w 154"/>
              <a:gd name="T13" fmla="*/ 181 h 373"/>
              <a:gd name="T14" fmla="*/ 58 w 154"/>
              <a:gd name="T15" fmla="*/ 189 h 373"/>
              <a:gd name="T16" fmla="*/ 62 w 154"/>
              <a:gd name="T17" fmla="*/ 203 h 373"/>
              <a:gd name="T18" fmla="*/ 62 w 154"/>
              <a:gd name="T19" fmla="*/ 263 h 373"/>
              <a:gd name="T20" fmla="*/ 28 w 154"/>
              <a:gd name="T21" fmla="*/ 263 h 373"/>
              <a:gd name="T22" fmla="*/ 20 w 154"/>
              <a:gd name="T23" fmla="*/ 335 h 373"/>
              <a:gd name="T24" fmla="*/ 28 w 154"/>
              <a:gd name="T25" fmla="*/ 349 h 373"/>
              <a:gd name="T26" fmla="*/ 32 w 154"/>
              <a:gd name="T27" fmla="*/ 373 h 373"/>
              <a:gd name="T28" fmla="*/ 82 w 154"/>
              <a:gd name="T29" fmla="*/ 371 h 373"/>
              <a:gd name="T30" fmla="*/ 84 w 154"/>
              <a:gd name="T31" fmla="*/ 345 h 373"/>
              <a:gd name="T32" fmla="*/ 116 w 154"/>
              <a:gd name="T33" fmla="*/ 347 h 373"/>
              <a:gd name="T34" fmla="*/ 138 w 154"/>
              <a:gd name="T35" fmla="*/ 355 h 373"/>
              <a:gd name="T36" fmla="*/ 152 w 154"/>
              <a:gd name="T37" fmla="*/ 355 h 373"/>
              <a:gd name="T38" fmla="*/ 154 w 154"/>
              <a:gd name="T39" fmla="*/ 357 h 37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54"/>
              <a:gd name="T61" fmla="*/ 0 h 373"/>
              <a:gd name="T62" fmla="*/ 154 w 154"/>
              <a:gd name="T63" fmla="*/ 373 h 37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54" h="373">
                <a:moveTo>
                  <a:pt x="57" y="0"/>
                </a:moveTo>
                <a:lnTo>
                  <a:pt x="56" y="69"/>
                </a:lnTo>
                <a:lnTo>
                  <a:pt x="4" y="69"/>
                </a:lnTo>
                <a:lnTo>
                  <a:pt x="0" y="203"/>
                </a:lnTo>
                <a:lnTo>
                  <a:pt x="18" y="194"/>
                </a:lnTo>
                <a:lnTo>
                  <a:pt x="11" y="185"/>
                </a:lnTo>
                <a:lnTo>
                  <a:pt x="46" y="181"/>
                </a:lnTo>
                <a:lnTo>
                  <a:pt x="58" y="189"/>
                </a:lnTo>
                <a:lnTo>
                  <a:pt x="62" y="203"/>
                </a:lnTo>
                <a:cubicBezTo>
                  <a:pt x="62" y="223"/>
                  <a:pt x="62" y="243"/>
                  <a:pt x="62" y="263"/>
                </a:cubicBezTo>
                <a:cubicBezTo>
                  <a:pt x="51" y="263"/>
                  <a:pt x="39" y="263"/>
                  <a:pt x="28" y="263"/>
                </a:cubicBezTo>
                <a:lnTo>
                  <a:pt x="20" y="335"/>
                </a:lnTo>
                <a:lnTo>
                  <a:pt x="28" y="349"/>
                </a:lnTo>
                <a:lnTo>
                  <a:pt x="32" y="373"/>
                </a:lnTo>
                <a:lnTo>
                  <a:pt x="82" y="371"/>
                </a:lnTo>
                <a:lnTo>
                  <a:pt x="84" y="345"/>
                </a:lnTo>
                <a:lnTo>
                  <a:pt x="116" y="347"/>
                </a:lnTo>
                <a:cubicBezTo>
                  <a:pt x="139" y="357"/>
                  <a:pt x="138" y="365"/>
                  <a:pt x="138" y="355"/>
                </a:cubicBezTo>
                <a:lnTo>
                  <a:pt x="152" y="355"/>
                </a:lnTo>
                <a:lnTo>
                  <a:pt x="154" y="357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15" name="Freeform 2039">
            <a:extLst>
              <a:ext uri="{FF2B5EF4-FFF2-40B4-BE49-F238E27FC236}">
                <a16:creationId xmlns:a16="http://schemas.microsoft.com/office/drawing/2014/main" id="{00000000-0008-0000-0800-0000FF110300}"/>
              </a:ext>
            </a:extLst>
          </xdr:cNvPr>
          <xdr:cNvSpPr>
            <a:spLocks/>
          </xdr:cNvSpPr>
        </xdr:nvSpPr>
        <xdr:spPr bwMode="auto">
          <a:xfrm>
            <a:off x="3288" y="2520"/>
            <a:ext cx="264" cy="210"/>
          </a:xfrm>
          <a:custGeom>
            <a:avLst/>
            <a:gdLst>
              <a:gd name="T0" fmla="*/ 0 w 264"/>
              <a:gd name="T1" fmla="*/ 41 h 210"/>
              <a:gd name="T2" fmla="*/ 36 w 264"/>
              <a:gd name="T3" fmla="*/ 0 h 210"/>
              <a:gd name="T4" fmla="*/ 50 w 264"/>
              <a:gd name="T5" fmla="*/ 0 h 210"/>
              <a:gd name="T6" fmla="*/ 56 w 264"/>
              <a:gd name="T7" fmla="*/ 18 h 210"/>
              <a:gd name="T8" fmla="*/ 86 w 264"/>
              <a:gd name="T9" fmla="*/ 20 h 210"/>
              <a:gd name="T10" fmla="*/ 96 w 264"/>
              <a:gd name="T11" fmla="*/ 40 h 210"/>
              <a:gd name="T12" fmla="*/ 104 w 264"/>
              <a:gd name="T13" fmla="*/ 66 h 210"/>
              <a:gd name="T14" fmla="*/ 128 w 264"/>
              <a:gd name="T15" fmla="*/ 66 h 210"/>
              <a:gd name="T16" fmla="*/ 132 w 264"/>
              <a:gd name="T17" fmla="*/ 84 h 210"/>
              <a:gd name="T18" fmla="*/ 200 w 264"/>
              <a:gd name="T19" fmla="*/ 82 h 210"/>
              <a:gd name="T20" fmla="*/ 208 w 264"/>
              <a:gd name="T21" fmla="*/ 94 h 210"/>
              <a:gd name="T22" fmla="*/ 226 w 264"/>
              <a:gd name="T23" fmla="*/ 86 h 210"/>
              <a:gd name="T24" fmla="*/ 232 w 264"/>
              <a:gd name="T25" fmla="*/ 134 h 210"/>
              <a:gd name="T26" fmla="*/ 260 w 264"/>
              <a:gd name="T27" fmla="*/ 138 h 210"/>
              <a:gd name="T28" fmla="*/ 264 w 264"/>
              <a:gd name="T29" fmla="*/ 210 h 210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264"/>
              <a:gd name="T46" fmla="*/ 0 h 210"/>
              <a:gd name="T47" fmla="*/ 264 w 264"/>
              <a:gd name="T48" fmla="*/ 210 h 210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264" h="210">
                <a:moveTo>
                  <a:pt x="0" y="41"/>
                </a:moveTo>
                <a:lnTo>
                  <a:pt x="36" y="0"/>
                </a:lnTo>
                <a:lnTo>
                  <a:pt x="50" y="0"/>
                </a:lnTo>
                <a:lnTo>
                  <a:pt x="56" y="18"/>
                </a:lnTo>
                <a:lnTo>
                  <a:pt x="86" y="20"/>
                </a:lnTo>
                <a:lnTo>
                  <a:pt x="96" y="40"/>
                </a:lnTo>
                <a:lnTo>
                  <a:pt x="104" y="66"/>
                </a:lnTo>
                <a:lnTo>
                  <a:pt x="128" y="66"/>
                </a:lnTo>
                <a:lnTo>
                  <a:pt x="132" y="84"/>
                </a:lnTo>
                <a:lnTo>
                  <a:pt x="200" y="82"/>
                </a:lnTo>
                <a:lnTo>
                  <a:pt x="208" y="94"/>
                </a:lnTo>
                <a:lnTo>
                  <a:pt x="226" y="86"/>
                </a:lnTo>
                <a:lnTo>
                  <a:pt x="232" y="134"/>
                </a:lnTo>
                <a:lnTo>
                  <a:pt x="260" y="138"/>
                </a:lnTo>
                <a:lnTo>
                  <a:pt x="264" y="21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64" name="Text Box 2040">
            <a:extLst>
              <a:ext uri="{FF2B5EF4-FFF2-40B4-BE49-F238E27FC236}">
                <a16:creationId xmlns:a16="http://schemas.microsoft.com/office/drawing/2014/main" id="{00000000-0008-0000-0800-0000F8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77" y="2866"/>
            <a:ext cx="383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Fort Sumner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65" name="Text Box 2041">
            <a:extLst>
              <a:ext uri="{FF2B5EF4-FFF2-40B4-BE49-F238E27FC236}">
                <a16:creationId xmlns:a16="http://schemas.microsoft.com/office/drawing/2014/main" id="{00000000-0008-0000-0800-0000F9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4" y="2955"/>
            <a:ext cx="212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Melrose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66" name="Text Box 2042">
            <a:extLst>
              <a:ext uri="{FF2B5EF4-FFF2-40B4-BE49-F238E27FC236}">
                <a16:creationId xmlns:a16="http://schemas.microsoft.com/office/drawing/2014/main" id="{00000000-0008-0000-0800-0000FA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3" y="2967"/>
            <a:ext cx="218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Texico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67" name="Text Box 2043">
            <a:extLst>
              <a:ext uri="{FF2B5EF4-FFF2-40B4-BE49-F238E27FC236}">
                <a16:creationId xmlns:a16="http://schemas.microsoft.com/office/drawing/2014/main" id="{00000000-0008-0000-0800-0000FB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9" y="3014"/>
            <a:ext cx="212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Clovis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68" name="Text Box 2044">
            <a:extLst>
              <a:ext uri="{FF2B5EF4-FFF2-40B4-BE49-F238E27FC236}">
                <a16:creationId xmlns:a16="http://schemas.microsoft.com/office/drawing/2014/main" id="{00000000-0008-0000-0800-0000FC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5" y="2878"/>
            <a:ext cx="306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21" name="Line 2045">
            <a:extLst>
              <a:ext uri="{FF2B5EF4-FFF2-40B4-BE49-F238E27FC236}">
                <a16:creationId xmlns:a16="http://schemas.microsoft.com/office/drawing/2014/main" id="{00000000-0008-0000-0800-000005120300}"/>
              </a:ext>
            </a:extLst>
          </xdr:cNvPr>
          <xdr:cNvSpPr>
            <a:spLocks noChangeShapeType="1"/>
          </xdr:cNvSpPr>
        </xdr:nvSpPr>
        <xdr:spPr bwMode="auto">
          <a:xfrm>
            <a:off x="3880" y="2986"/>
            <a:ext cx="68" cy="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70" name="Text Box 2046">
            <a:extLst>
              <a:ext uri="{FF2B5EF4-FFF2-40B4-BE49-F238E27FC236}">
                <a16:creationId xmlns:a16="http://schemas.microsoft.com/office/drawing/2014/main" id="{00000000-0008-0000-0800-0000FE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9" y="2795"/>
            <a:ext cx="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71" name="Text Box 2047">
            <a:extLst>
              <a:ext uri="{FF2B5EF4-FFF2-40B4-BE49-F238E27FC236}">
                <a16:creationId xmlns:a16="http://schemas.microsoft.com/office/drawing/2014/main" id="{00000000-0008-0000-0800-0000FF6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89" y="2641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Grady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24" name="Freeform 2048">
            <a:extLst>
              <a:ext uri="{FF2B5EF4-FFF2-40B4-BE49-F238E27FC236}">
                <a16:creationId xmlns:a16="http://schemas.microsoft.com/office/drawing/2014/main" id="{00000000-0008-0000-0800-000008120300}"/>
              </a:ext>
            </a:extLst>
          </xdr:cNvPr>
          <xdr:cNvSpPr>
            <a:spLocks/>
          </xdr:cNvSpPr>
        </xdr:nvSpPr>
        <xdr:spPr bwMode="auto">
          <a:xfrm>
            <a:off x="3512" y="2504"/>
            <a:ext cx="159" cy="100"/>
          </a:xfrm>
          <a:custGeom>
            <a:avLst/>
            <a:gdLst>
              <a:gd name="T0" fmla="*/ 159 w 159"/>
              <a:gd name="T1" fmla="*/ 0 h 100"/>
              <a:gd name="T2" fmla="*/ 138 w 159"/>
              <a:gd name="T3" fmla="*/ 0 h 100"/>
              <a:gd name="T4" fmla="*/ 136 w 159"/>
              <a:gd name="T5" fmla="*/ 54 h 100"/>
              <a:gd name="T6" fmla="*/ 114 w 159"/>
              <a:gd name="T7" fmla="*/ 56 h 100"/>
              <a:gd name="T8" fmla="*/ 112 w 159"/>
              <a:gd name="T9" fmla="*/ 76 h 100"/>
              <a:gd name="T10" fmla="*/ 72 w 159"/>
              <a:gd name="T11" fmla="*/ 74 h 100"/>
              <a:gd name="T12" fmla="*/ 58 w 159"/>
              <a:gd name="T13" fmla="*/ 86 h 100"/>
              <a:gd name="T14" fmla="*/ 22 w 159"/>
              <a:gd name="T15" fmla="*/ 84 h 100"/>
              <a:gd name="T16" fmla="*/ 22 w 159"/>
              <a:gd name="T17" fmla="*/ 100 h 100"/>
              <a:gd name="T18" fmla="*/ 0 w 159"/>
              <a:gd name="T19" fmla="*/ 100 h 10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59"/>
              <a:gd name="T31" fmla="*/ 0 h 100"/>
              <a:gd name="T32" fmla="*/ 159 w 159"/>
              <a:gd name="T33" fmla="*/ 100 h 1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59" h="100">
                <a:moveTo>
                  <a:pt x="159" y="0"/>
                </a:moveTo>
                <a:lnTo>
                  <a:pt x="138" y="0"/>
                </a:lnTo>
                <a:lnTo>
                  <a:pt x="136" y="54"/>
                </a:lnTo>
                <a:lnTo>
                  <a:pt x="114" y="56"/>
                </a:lnTo>
                <a:lnTo>
                  <a:pt x="112" y="76"/>
                </a:lnTo>
                <a:lnTo>
                  <a:pt x="72" y="74"/>
                </a:lnTo>
                <a:lnTo>
                  <a:pt x="58" y="86"/>
                </a:lnTo>
                <a:lnTo>
                  <a:pt x="22" y="84"/>
                </a:lnTo>
                <a:lnTo>
                  <a:pt x="22" y="100"/>
                </a:lnTo>
                <a:lnTo>
                  <a:pt x="0" y="10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25" name="Freeform 2049">
            <a:extLst>
              <a:ext uri="{FF2B5EF4-FFF2-40B4-BE49-F238E27FC236}">
                <a16:creationId xmlns:a16="http://schemas.microsoft.com/office/drawing/2014/main" id="{00000000-0008-0000-0800-000009120300}"/>
              </a:ext>
            </a:extLst>
          </xdr:cNvPr>
          <xdr:cNvSpPr>
            <a:spLocks/>
          </xdr:cNvSpPr>
        </xdr:nvSpPr>
        <xdr:spPr bwMode="auto">
          <a:xfrm>
            <a:off x="3648" y="2544"/>
            <a:ext cx="77" cy="270"/>
          </a:xfrm>
          <a:custGeom>
            <a:avLst/>
            <a:gdLst>
              <a:gd name="T0" fmla="*/ 0 w 77"/>
              <a:gd name="T1" fmla="*/ 0 h 270"/>
              <a:gd name="T2" fmla="*/ 4 w 77"/>
              <a:gd name="T3" fmla="*/ 40 h 270"/>
              <a:gd name="T4" fmla="*/ 41 w 77"/>
              <a:gd name="T5" fmla="*/ 42 h 270"/>
              <a:gd name="T6" fmla="*/ 41 w 77"/>
              <a:gd name="T7" fmla="*/ 101 h 270"/>
              <a:gd name="T8" fmla="*/ 42 w 77"/>
              <a:gd name="T9" fmla="*/ 156 h 270"/>
              <a:gd name="T10" fmla="*/ 75 w 77"/>
              <a:gd name="T11" fmla="*/ 156 h 270"/>
              <a:gd name="T12" fmla="*/ 77 w 77"/>
              <a:gd name="T13" fmla="*/ 270 h 270"/>
              <a:gd name="T14" fmla="*/ 74 w 77"/>
              <a:gd name="T15" fmla="*/ 270 h 27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77"/>
              <a:gd name="T25" fmla="*/ 0 h 270"/>
              <a:gd name="T26" fmla="*/ 77 w 77"/>
              <a:gd name="T27" fmla="*/ 270 h 27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77" h="270">
                <a:moveTo>
                  <a:pt x="0" y="0"/>
                </a:moveTo>
                <a:lnTo>
                  <a:pt x="4" y="40"/>
                </a:lnTo>
                <a:lnTo>
                  <a:pt x="41" y="42"/>
                </a:lnTo>
                <a:lnTo>
                  <a:pt x="41" y="101"/>
                </a:lnTo>
                <a:lnTo>
                  <a:pt x="42" y="156"/>
                </a:lnTo>
                <a:lnTo>
                  <a:pt x="75" y="156"/>
                </a:lnTo>
                <a:lnTo>
                  <a:pt x="77" y="270"/>
                </a:lnTo>
                <a:lnTo>
                  <a:pt x="74" y="27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26" name="Freeform 2050">
            <a:extLst>
              <a:ext uri="{FF2B5EF4-FFF2-40B4-BE49-F238E27FC236}">
                <a16:creationId xmlns:a16="http://schemas.microsoft.com/office/drawing/2014/main" id="{00000000-0008-0000-0800-00000A120300}"/>
              </a:ext>
            </a:extLst>
          </xdr:cNvPr>
          <xdr:cNvSpPr>
            <a:spLocks/>
          </xdr:cNvSpPr>
        </xdr:nvSpPr>
        <xdr:spPr bwMode="auto">
          <a:xfrm>
            <a:off x="3842" y="2610"/>
            <a:ext cx="112" cy="168"/>
          </a:xfrm>
          <a:custGeom>
            <a:avLst/>
            <a:gdLst>
              <a:gd name="T0" fmla="*/ 112 w 112"/>
              <a:gd name="T1" fmla="*/ 2 h 168"/>
              <a:gd name="T2" fmla="*/ 12 w 112"/>
              <a:gd name="T3" fmla="*/ 0 h 168"/>
              <a:gd name="T4" fmla="*/ 14 w 112"/>
              <a:gd name="T5" fmla="*/ 22 h 168"/>
              <a:gd name="T6" fmla="*/ 24 w 112"/>
              <a:gd name="T7" fmla="*/ 32 h 168"/>
              <a:gd name="T8" fmla="*/ 28 w 112"/>
              <a:gd name="T9" fmla="*/ 46 h 168"/>
              <a:gd name="T10" fmla="*/ 0 w 112"/>
              <a:gd name="T11" fmla="*/ 46 h 168"/>
              <a:gd name="T12" fmla="*/ 2 w 112"/>
              <a:gd name="T13" fmla="*/ 168 h 168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12"/>
              <a:gd name="T22" fmla="*/ 0 h 168"/>
              <a:gd name="T23" fmla="*/ 112 w 112"/>
              <a:gd name="T24" fmla="*/ 168 h 168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12" h="168">
                <a:moveTo>
                  <a:pt x="112" y="2"/>
                </a:moveTo>
                <a:lnTo>
                  <a:pt x="12" y="0"/>
                </a:lnTo>
                <a:lnTo>
                  <a:pt x="14" y="22"/>
                </a:lnTo>
                <a:lnTo>
                  <a:pt x="24" y="32"/>
                </a:lnTo>
                <a:lnTo>
                  <a:pt x="28" y="46"/>
                </a:lnTo>
                <a:lnTo>
                  <a:pt x="0" y="46"/>
                </a:lnTo>
                <a:lnTo>
                  <a:pt x="2" y="16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27" name="Freeform 2051">
            <a:extLst>
              <a:ext uri="{FF2B5EF4-FFF2-40B4-BE49-F238E27FC236}">
                <a16:creationId xmlns:a16="http://schemas.microsoft.com/office/drawing/2014/main" id="{00000000-0008-0000-0800-00000B120300}"/>
              </a:ext>
            </a:extLst>
          </xdr:cNvPr>
          <xdr:cNvSpPr>
            <a:spLocks/>
          </xdr:cNvSpPr>
        </xdr:nvSpPr>
        <xdr:spPr bwMode="auto">
          <a:xfrm>
            <a:off x="3654" y="2750"/>
            <a:ext cx="272" cy="528"/>
          </a:xfrm>
          <a:custGeom>
            <a:avLst/>
            <a:gdLst>
              <a:gd name="T0" fmla="*/ 238 w 272"/>
              <a:gd name="T1" fmla="*/ 326 h 528"/>
              <a:gd name="T2" fmla="*/ 254 w 272"/>
              <a:gd name="T3" fmla="*/ 286 h 528"/>
              <a:gd name="T4" fmla="*/ 272 w 272"/>
              <a:gd name="T5" fmla="*/ 266 h 528"/>
              <a:gd name="T6" fmla="*/ 270 w 272"/>
              <a:gd name="T7" fmla="*/ 16 h 528"/>
              <a:gd name="T8" fmla="*/ 228 w 272"/>
              <a:gd name="T9" fmla="*/ 14 h 528"/>
              <a:gd name="T10" fmla="*/ 222 w 272"/>
              <a:gd name="T11" fmla="*/ 0 h 528"/>
              <a:gd name="T12" fmla="*/ 214 w 272"/>
              <a:gd name="T13" fmla="*/ 28 h 528"/>
              <a:gd name="T14" fmla="*/ 102 w 272"/>
              <a:gd name="T15" fmla="*/ 26 h 528"/>
              <a:gd name="T16" fmla="*/ 102 w 272"/>
              <a:gd name="T17" fmla="*/ 64 h 528"/>
              <a:gd name="T18" fmla="*/ 68 w 272"/>
              <a:gd name="T19" fmla="*/ 64 h 528"/>
              <a:gd name="T20" fmla="*/ 58 w 272"/>
              <a:gd name="T21" fmla="*/ 78 h 528"/>
              <a:gd name="T22" fmla="*/ 60 w 272"/>
              <a:gd name="T23" fmla="*/ 104 h 528"/>
              <a:gd name="T24" fmla="*/ 30 w 272"/>
              <a:gd name="T25" fmla="*/ 102 h 528"/>
              <a:gd name="T26" fmla="*/ 30 w 272"/>
              <a:gd name="T27" fmla="*/ 224 h 528"/>
              <a:gd name="T28" fmla="*/ 56 w 272"/>
              <a:gd name="T29" fmla="*/ 224 h 528"/>
              <a:gd name="T30" fmla="*/ 50 w 272"/>
              <a:gd name="T31" fmla="*/ 246 h 528"/>
              <a:gd name="T32" fmla="*/ 46 w 272"/>
              <a:gd name="T33" fmla="*/ 328 h 528"/>
              <a:gd name="T34" fmla="*/ 48 w 272"/>
              <a:gd name="T35" fmla="*/ 462 h 528"/>
              <a:gd name="T36" fmla="*/ 36 w 272"/>
              <a:gd name="T37" fmla="*/ 474 h 528"/>
              <a:gd name="T38" fmla="*/ 34 w 272"/>
              <a:gd name="T39" fmla="*/ 502 h 528"/>
              <a:gd name="T40" fmla="*/ 18 w 272"/>
              <a:gd name="T41" fmla="*/ 526 h 528"/>
              <a:gd name="T42" fmla="*/ 0 w 272"/>
              <a:gd name="T43" fmla="*/ 528 h 528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272"/>
              <a:gd name="T67" fmla="*/ 0 h 528"/>
              <a:gd name="T68" fmla="*/ 272 w 272"/>
              <a:gd name="T69" fmla="*/ 528 h 528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272" h="528">
                <a:moveTo>
                  <a:pt x="238" y="326"/>
                </a:moveTo>
                <a:lnTo>
                  <a:pt x="254" y="286"/>
                </a:lnTo>
                <a:lnTo>
                  <a:pt x="272" y="266"/>
                </a:lnTo>
                <a:lnTo>
                  <a:pt x="270" y="16"/>
                </a:lnTo>
                <a:lnTo>
                  <a:pt x="228" y="14"/>
                </a:lnTo>
                <a:lnTo>
                  <a:pt x="222" y="0"/>
                </a:lnTo>
                <a:lnTo>
                  <a:pt x="214" y="28"/>
                </a:lnTo>
                <a:lnTo>
                  <a:pt x="102" y="26"/>
                </a:lnTo>
                <a:lnTo>
                  <a:pt x="102" y="64"/>
                </a:lnTo>
                <a:lnTo>
                  <a:pt x="68" y="64"/>
                </a:lnTo>
                <a:lnTo>
                  <a:pt x="58" y="78"/>
                </a:lnTo>
                <a:lnTo>
                  <a:pt x="60" y="104"/>
                </a:lnTo>
                <a:lnTo>
                  <a:pt x="30" y="102"/>
                </a:lnTo>
                <a:lnTo>
                  <a:pt x="30" y="224"/>
                </a:lnTo>
                <a:lnTo>
                  <a:pt x="56" y="224"/>
                </a:lnTo>
                <a:lnTo>
                  <a:pt x="50" y="246"/>
                </a:lnTo>
                <a:lnTo>
                  <a:pt x="46" y="328"/>
                </a:lnTo>
                <a:lnTo>
                  <a:pt x="48" y="462"/>
                </a:lnTo>
                <a:lnTo>
                  <a:pt x="36" y="474"/>
                </a:lnTo>
                <a:lnTo>
                  <a:pt x="34" y="502"/>
                </a:lnTo>
                <a:lnTo>
                  <a:pt x="18" y="526"/>
                </a:lnTo>
                <a:lnTo>
                  <a:pt x="0" y="528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28" name="Freeform 2052">
            <a:extLst>
              <a:ext uri="{FF2B5EF4-FFF2-40B4-BE49-F238E27FC236}">
                <a16:creationId xmlns:a16="http://schemas.microsoft.com/office/drawing/2014/main" id="{00000000-0008-0000-0800-00000C120300}"/>
              </a:ext>
            </a:extLst>
          </xdr:cNvPr>
          <xdr:cNvSpPr>
            <a:spLocks/>
          </xdr:cNvSpPr>
        </xdr:nvSpPr>
        <xdr:spPr bwMode="auto">
          <a:xfrm>
            <a:off x="3692" y="3286"/>
            <a:ext cx="266" cy="50"/>
          </a:xfrm>
          <a:custGeom>
            <a:avLst/>
            <a:gdLst>
              <a:gd name="T0" fmla="*/ 266 w 266"/>
              <a:gd name="T1" fmla="*/ 50 h 50"/>
              <a:gd name="T2" fmla="*/ 178 w 266"/>
              <a:gd name="T3" fmla="*/ 50 h 50"/>
              <a:gd name="T4" fmla="*/ 172 w 266"/>
              <a:gd name="T5" fmla="*/ 14 h 50"/>
              <a:gd name="T6" fmla="*/ 108 w 266"/>
              <a:gd name="T7" fmla="*/ 14 h 50"/>
              <a:gd name="T8" fmla="*/ 108 w 266"/>
              <a:gd name="T9" fmla="*/ 30 h 50"/>
              <a:gd name="T10" fmla="*/ 90 w 266"/>
              <a:gd name="T11" fmla="*/ 28 h 50"/>
              <a:gd name="T12" fmla="*/ 88 w 266"/>
              <a:gd name="T13" fmla="*/ 14 h 50"/>
              <a:gd name="T14" fmla="*/ 62 w 266"/>
              <a:gd name="T15" fmla="*/ 12 h 50"/>
              <a:gd name="T16" fmla="*/ 52 w 266"/>
              <a:gd name="T17" fmla="*/ 0 h 50"/>
              <a:gd name="T18" fmla="*/ 24 w 266"/>
              <a:gd name="T19" fmla="*/ 2 h 50"/>
              <a:gd name="T20" fmla="*/ 28 w 266"/>
              <a:gd name="T21" fmla="*/ 44 h 50"/>
              <a:gd name="T22" fmla="*/ 0 w 266"/>
              <a:gd name="T23" fmla="*/ 44 h 50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266"/>
              <a:gd name="T37" fmla="*/ 0 h 50"/>
              <a:gd name="T38" fmla="*/ 266 w 266"/>
              <a:gd name="T39" fmla="*/ 50 h 5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266" h="50">
                <a:moveTo>
                  <a:pt x="266" y="50"/>
                </a:moveTo>
                <a:lnTo>
                  <a:pt x="178" y="50"/>
                </a:lnTo>
                <a:lnTo>
                  <a:pt x="172" y="14"/>
                </a:lnTo>
                <a:lnTo>
                  <a:pt x="108" y="14"/>
                </a:lnTo>
                <a:lnTo>
                  <a:pt x="108" y="30"/>
                </a:lnTo>
                <a:lnTo>
                  <a:pt x="90" y="28"/>
                </a:lnTo>
                <a:lnTo>
                  <a:pt x="88" y="14"/>
                </a:lnTo>
                <a:lnTo>
                  <a:pt x="62" y="12"/>
                </a:lnTo>
                <a:lnTo>
                  <a:pt x="52" y="0"/>
                </a:lnTo>
                <a:lnTo>
                  <a:pt x="24" y="2"/>
                </a:lnTo>
                <a:lnTo>
                  <a:pt x="28" y="44"/>
                </a:lnTo>
                <a:lnTo>
                  <a:pt x="0" y="4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29" name="Freeform 2053">
            <a:extLst>
              <a:ext uri="{FF2B5EF4-FFF2-40B4-BE49-F238E27FC236}">
                <a16:creationId xmlns:a16="http://schemas.microsoft.com/office/drawing/2014/main" id="{00000000-0008-0000-0800-00000D120300}"/>
              </a:ext>
            </a:extLst>
          </xdr:cNvPr>
          <xdr:cNvSpPr>
            <a:spLocks/>
          </xdr:cNvSpPr>
        </xdr:nvSpPr>
        <xdr:spPr bwMode="auto">
          <a:xfrm>
            <a:off x="3828" y="3388"/>
            <a:ext cx="130" cy="240"/>
          </a:xfrm>
          <a:custGeom>
            <a:avLst/>
            <a:gdLst>
              <a:gd name="T0" fmla="*/ 130 w 130"/>
              <a:gd name="T1" fmla="*/ 0 h 240"/>
              <a:gd name="T2" fmla="*/ 42 w 130"/>
              <a:gd name="T3" fmla="*/ 0 h 240"/>
              <a:gd name="T4" fmla="*/ 36 w 130"/>
              <a:gd name="T5" fmla="*/ 14 h 240"/>
              <a:gd name="T6" fmla="*/ 24 w 130"/>
              <a:gd name="T7" fmla="*/ 28 h 240"/>
              <a:gd name="T8" fmla="*/ 26 w 130"/>
              <a:gd name="T9" fmla="*/ 46 h 240"/>
              <a:gd name="T10" fmla="*/ 14 w 130"/>
              <a:gd name="T11" fmla="*/ 46 h 240"/>
              <a:gd name="T12" fmla="*/ 0 w 130"/>
              <a:gd name="T13" fmla="*/ 70 h 240"/>
              <a:gd name="T14" fmla="*/ 0 w 130"/>
              <a:gd name="T15" fmla="*/ 92 h 240"/>
              <a:gd name="T16" fmla="*/ 22 w 130"/>
              <a:gd name="T17" fmla="*/ 114 h 240"/>
              <a:gd name="T18" fmla="*/ 22 w 130"/>
              <a:gd name="T19" fmla="*/ 240 h 240"/>
              <a:gd name="T20" fmla="*/ 128 w 130"/>
              <a:gd name="T21" fmla="*/ 240 h 240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130"/>
              <a:gd name="T34" fmla="*/ 0 h 240"/>
              <a:gd name="T35" fmla="*/ 130 w 130"/>
              <a:gd name="T36" fmla="*/ 240 h 240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130" h="240">
                <a:moveTo>
                  <a:pt x="130" y="0"/>
                </a:moveTo>
                <a:lnTo>
                  <a:pt x="42" y="0"/>
                </a:lnTo>
                <a:lnTo>
                  <a:pt x="36" y="14"/>
                </a:lnTo>
                <a:lnTo>
                  <a:pt x="24" y="28"/>
                </a:lnTo>
                <a:lnTo>
                  <a:pt x="26" y="46"/>
                </a:lnTo>
                <a:lnTo>
                  <a:pt x="14" y="46"/>
                </a:lnTo>
                <a:lnTo>
                  <a:pt x="0" y="70"/>
                </a:lnTo>
                <a:lnTo>
                  <a:pt x="0" y="92"/>
                </a:lnTo>
                <a:lnTo>
                  <a:pt x="22" y="114"/>
                </a:lnTo>
                <a:lnTo>
                  <a:pt x="22" y="240"/>
                </a:lnTo>
                <a:lnTo>
                  <a:pt x="128" y="24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30" name="Freeform 2054">
            <a:extLst>
              <a:ext uri="{FF2B5EF4-FFF2-40B4-BE49-F238E27FC236}">
                <a16:creationId xmlns:a16="http://schemas.microsoft.com/office/drawing/2014/main" id="{00000000-0008-0000-0800-00000E120300}"/>
              </a:ext>
            </a:extLst>
          </xdr:cNvPr>
          <xdr:cNvSpPr>
            <a:spLocks/>
          </xdr:cNvSpPr>
        </xdr:nvSpPr>
        <xdr:spPr bwMode="auto">
          <a:xfrm>
            <a:off x="3638" y="3716"/>
            <a:ext cx="36" cy="24"/>
          </a:xfrm>
          <a:custGeom>
            <a:avLst/>
            <a:gdLst>
              <a:gd name="T0" fmla="*/ 36 w 36"/>
              <a:gd name="T1" fmla="*/ 0 h 24"/>
              <a:gd name="T2" fmla="*/ 0 w 36"/>
              <a:gd name="T3" fmla="*/ 0 h 24"/>
              <a:gd name="T4" fmla="*/ 0 w 36"/>
              <a:gd name="T5" fmla="*/ 24 h 24"/>
              <a:gd name="T6" fmla="*/ 0 60000 65536"/>
              <a:gd name="T7" fmla="*/ 0 60000 65536"/>
              <a:gd name="T8" fmla="*/ 0 60000 65536"/>
              <a:gd name="T9" fmla="*/ 0 w 36"/>
              <a:gd name="T10" fmla="*/ 0 h 24"/>
              <a:gd name="T11" fmla="*/ 36 w 36"/>
              <a:gd name="T12" fmla="*/ 24 h 24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6" h="24">
                <a:moveTo>
                  <a:pt x="36" y="0"/>
                </a:moveTo>
                <a:lnTo>
                  <a:pt x="0" y="0"/>
                </a:lnTo>
                <a:lnTo>
                  <a:pt x="0" y="24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679" name="Text Box 2055">
            <a:extLst>
              <a:ext uri="{FF2B5EF4-FFF2-40B4-BE49-F238E27FC236}">
                <a16:creationId xmlns:a16="http://schemas.microsoft.com/office/drawing/2014/main" id="{00000000-0008-0000-0800-000007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48" y="3513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28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0" name="Text Box 2056">
            <a:extLst>
              <a:ext uri="{FF2B5EF4-FFF2-40B4-BE49-F238E27FC236}">
                <a16:creationId xmlns:a16="http://schemas.microsoft.com/office/drawing/2014/main" id="{00000000-0008-0000-0800-000008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54" y="3673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1-L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33" name="Line 2057">
            <a:extLst>
              <a:ext uri="{FF2B5EF4-FFF2-40B4-BE49-F238E27FC236}">
                <a16:creationId xmlns:a16="http://schemas.microsoft.com/office/drawing/2014/main" id="{00000000-0008-0000-0800-000011120300}"/>
              </a:ext>
            </a:extLst>
          </xdr:cNvPr>
          <xdr:cNvSpPr>
            <a:spLocks noChangeShapeType="1"/>
          </xdr:cNvSpPr>
        </xdr:nvSpPr>
        <xdr:spPr bwMode="auto">
          <a:xfrm>
            <a:off x="3550" y="3706"/>
            <a:ext cx="82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82" name="Text Box 2058">
            <a:extLst>
              <a:ext uri="{FF2B5EF4-FFF2-40B4-BE49-F238E27FC236}">
                <a16:creationId xmlns:a16="http://schemas.microsoft.com/office/drawing/2014/main" id="{00000000-0008-0000-0800-00000A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5" y="3281"/>
            <a:ext cx="7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27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3" name="Text Box 2059">
            <a:extLst>
              <a:ext uri="{FF2B5EF4-FFF2-40B4-BE49-F238E27FC236}">
                <a16:creationId xmlns:a16="http://schemas.microsoft.com/office/drawing/2014/main" id="{00000000-0008-0000-0800-00000B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54" y="3453"/>
            <a:ext cx="289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 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4" name="Text Box 2060">
            <a:extLst>
              <a:ext uri="{FF2B5EF4-FFF2-40B4-BE49-F238E27FC236}">
                <a16:creationId xmlns:a16="http://schemas.microsoft.com/office/drawing/2014/main" id="{00000000-0008-0000-0800-00000C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8" y="3608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39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5" name="Text Box 2061">
            <a:extLst>
              <a:ext uri="{FF2B5EF4-FFF2-40B4-BE49-F238E27FC236}">
                <a16:creationId xmlns:a16="http://schemas.microsoft.com/office/drawing/2014/main" id="{00000000-0008-0000-0800-00000D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37" y="3507"/>
            <a:ext cx="24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Cau-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6" name="Text Box 2062">
            <a:extLst>
              <a:ext uri="{FF2B5EF4-FFF2-40B4-BE49-F238E27FC236}">
                <a16:creationId xmlns:a16="http://schemas.microsoft.com/office/drawing/2014/main" id="{00000000-0008-0000-0800-00000E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9" y="3673"/>
            <a:ext cx="171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Dora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7" name="Text Box 2063">
            <a:extLst>
              <a:ext uri="{FF2B5EF4-FFF2-40B4-BE49-F238E27FC236}">
                <a16:creationId xmlns:a16="http://schemas.microsoft.com/office/drawing/2014/main" id="{00000000-0008-0000-0800-00000F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42" y="3548"/>
            <a:ext cx="124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sey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8" name="Text Box 2064">
            <a:extLst>
              <a:ext uri="{FF2B5EF4-FFF2-40B4-BE49-F238E27FC236}">
                <a16:creationId xmlns:a16="http://schemas.microsoft.com/office/drawing/2014/main" id="{00000000-0008-0000-0800-000010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31" y="3424"/>
            <a:ext cx="135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39-A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89" name="Text Box 2065">
            <a:extLst>
              <a:ext uri="{FF2B5EF4-FFF2-40B4-BE49-F238E27FC236}">
                <a16:creationId xmlns:a16="http://schemas.microsoft.com/office/drawing/2014/main" id="{00000000-0008-0000-0800-000011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2" y="3103"/>
            <a:ext cx="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0" name="Text Box 2066">
            <a:extLst>
              <a:ext uri="{FF2B5EF4-FFF2-40B4-BE49-F238E27FC236}">
                <a16:creationId xmlns:a16="http://schemas.microsoft.com/office/drawing/2014/main" id="{00000000-0008-0000-0800-000012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4" y="3157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Floyd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1" name="Text Box 2067">
            <a:extLst>
              <a:ext uri="{FF2B5EF4-FFF2-40B4-BE49-F238E27FC236}">
                <a16:creationId xmlns:a16="http://schemas.microsoft.com/office/drawing/2014/main" id="{00000000-0008-0000-0800-000013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72" y="3092"/>
            <a:ext cx="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2" name="Text Box 2068">
            <a:extLst>
              <a:ext uri="{FF2B5EF4-FFF2-40B4-BE49-F238E27FC236}">
                <a16:creationId xmlns:a16="http://schemas.microsoft.com/office/drawing/2014/main" id="{00000000-0008-0000-0800-000014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9" y="3192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Portales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3" name="Text Box 2069">
            <a:extLst>
              <a:ext uri="{FF2B5EF4-FFF2-40B4-BE49-F238E27FC236}">
                <a16:creationId xmlns:a16="http://schemas.microsoft.com/office/drawing/2014/main" id="{00000000-0008-0000-0800-000015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78" y="2421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23-47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46" name="Line 2070">
            <a:extLst>
              <a:ext uri="{FF2B5EF4-FFF2-40B4-BE49-F238E27FC236}">
                <a16:creationId xmlns:a16="http://schemas.microsoft.com/office/drawing/2014/main" id="{00000000-0008-0000-0800-00001E1203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706" y="2489"/>
            <a:ext cx="0" cy="10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95" name="Text Box 2071">
            <a:extLst>
              <a:ext uri="{FF2B5EF4-FFF2-40B4-BE49-F238E27FC236}">
                <a16:creationId xmlns:a16="http://schemas.microsoft.com/office/drawing/2014/main" id="{00000000-0008-0000-0800-000017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6" y="2279"/>
            <a:ext cx="330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Tucumcari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6" name="Text Box 2072">
            <a:extLst>
              <a:ext uri="{FF2B5EF4-FFF2-40B4-BE49-F238E27FC236}">
                <a16:creationId xmlns:a16="http://schemas.microsoft.com/office/drawing/2014/main" id="{00000000-0008-0000-0800-000018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13" y="2386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7" name="Text Box 2073">
            <a:extLst>
              <a:ext uri="{FF2B5EF4-FFF2-40B4-BE49-F238E27FC236}">
                <a16:creationId xmlns:a16="http://schemas.microsoft.com/office/drawing/2014/main" id="{00000000-0008-0000-0800-000019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9" y="2101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Logan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8" name="Text Box 2074">
            <a:extLst>
              <a:ext uri="{FF2B5EF4-FFF2-40B4-BE49-F238E27FC236}">
                <a16:creationId xmlns:a16="http://schemas.microsoft.com/office/drawing/2014/main" id="{00000000-0008-0000-0800-00001A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66" y="2024"/>
            <a:ext cx="71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25</a:t>
            </a: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699" name="Text Box 2075">
            <a:extLst>
              <a:ext uri="{FF2B5EF4-FFF2-40B4-BE49-F238E27FC236}">
                <a16:creationId xmlns:a16="http://schemas.microsoft.com/office/drawing/2014/main" id="{00000000-0008-0000-0800-00001B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1" y="1869"/>
            <a:ext cx="147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Las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00" name="Text Box 2076">
            <a:extLst>
              <a:ext uri="{FF2B5EF4-FFF2-40B4-BE49-F238E27FC236}">
                <a16:creationId xmlns:a16="http://schemas.microsoft.com/office/drawing/2014/main" id="{00000000-0008-0000-0800-00001C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7" y="1941"/>
            <a:ext cx="330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Vegas City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01" name="Text Box 2077">
            <a:extLst>
              <a:ext uri="{FF2B5EF4-FFF2-40B4-BE49-F238E27FC236}">
                <a16:creationId xmlns:a16="http://schemas.microsoft.com/office/drawing/2014/main" id="{00000000-0008-0000-0800-00001D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35" y="2113"/>
            <a:ext cx="383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Las Vegas West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54" name="Line 2078">
            <a:extLst>
              <a:ext uri="{FF2B5EF4-FFF2-40B4-BE49-F238E27FC236}">
                <a16:creationId xmlns:a16="http://schemas.microsoft.com/office/drawing/2014/main" id="{00000000-0008-0000-0800-000026120300}"/>
              </a:ext>
            </a:extLst>
          </xdr:cNvPr>
          <xdr:cNvSpPr>
            <a:spLocks noChangeShapeType="1"/>
          </xdr:cNvSpPr>
        </xdr:nvSpPr>
        <xdr:spPr bwMode="auto">
          <a:xfrm>
            <a:off x="2496" y="2208"/>
            <a:ext cx="10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03" name="Text Box 2079">
            <a:extLst>
              <a:ext uri="{FF2B5EF4-FFF2-40B4-BE49-F238E27FC236}">
                <a16:creationId xmlns:a16="http://schemas.microsoft.com/office/drawing/2014/main" id="{00000000-0008-0000-0800-00001F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7" y="1923"/>
            <a:ext cx="177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Pecos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56" name="Freeform 2080">
            <a:extLst>
              <a:ext uri="{FF2B5EF4-FFF2-40B4-BE49-F238E27FC236}">
                <a16:creationId xmlns:a16="http://schemas.microsoft.com/office/drawing/2014/main" id="{00000000-0008-0000-0800-000028120300}"/>
              </a:ext>
            </a:extLst>
          </xdr:cNvPr>
          <xdr:cNvSpPr>
            <a:spLocks/>
          </xdr:cNvSpPr>
        </xdr:nvSpPr>
        <xdr:spPr bwMode="auto">
          <a:xfrm>
            <a:off x="2276" y="1426"/>
            <a:ext cx="88" cy="142"/>
          </a:xfrm>
          <a:custGeom>
            <a:avLst/>
            <a:gdLst>
              <a:gd name="T0" fmla="*/ 20 w 88"/>
              <a:gd name="T1" fmla="*/ 4 h 142"/>
              <a:gd name="T2" fmla="*/ 0 w 88"/>
              <a:gd name="T3" fmla="*/ 0 h 142"/>
              <a:gd name="T4" fmla="*/ 0 w 88"/>
              <a:gd name="T5" fmla="*/ 50 h 142"/>
              <a:gd name="T6" fmla="*/ 14 w 88"/>
              <a:gd name="T7" fmla="*/ 50 h 142"/>
              <a:gd name="T8" fmla="*/ 54 w 88"/>
              <a:gd name="T9" fmla="*/ 68 h 142"/>
              <a:gd name="T10" fmla="*/ 54 w 88"/>
              <a:gd name="T11" fmla="*/ 82 h 142"/>
              <a:gd name="T12" fmla="*/ 68 w 88"/>
              <a:gd name="T13" fmla="*/ 90 h 142"/>
              <a:gd name="T14" fmla="*/ 66 w 88"/>
              <a:gd name="T15" fmla="*/ 116 h 142"/>
              <a:gd name="T16" fmla="*/ 88 w 88"/>
              <a:gd name="T17" fmla="*/ 118 h 142"/>
              <a:gd name="T18" fmla="*/ 88 w 88"/>
              <a:gd name="T19" fmla="*/ 142 h 14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88"/>
              <a:gd name="T31" fmla="*/ 0 h 142"/>
              <a:gd name="T32" fmla="*/ 88 w 88"/>
              <a:gd name="T33" fmla="*/ 142 h 142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88" h="142">
                <a:moveTo>
                  <a:pt x="20" y="4"/>
                </a:moveTo>
                <a:lnTo>
                  <a:pt x="0" y="0"/>
                </a:lnTo>
                <a:lnTo>
                  <a:pt x="0" y="50"/>
                </a:lnTo>
                <a:lnTo>
                  <a:pt x="14" y="50"/>
                </a:lnTo>
                <a:lnTo>
                  <a:pt x="54" y="68"/>
                </a:lnTo>
                <a:lnTo>
                  <a:pt x="54" y="82"/>
                </a:lnTo>
                <a:lnTo>
                  <a:pt x="68" y="90"/>
                </a:lnTo>
                <a:lnTo>
                  <a:pt x="66" y="116"/>
                </a:lnTo>
                <a:lnTo>
                  <a:pt x="88" y="118"/>
                </a:lnTo>
                <a:lnTo>
                  <a:pt x="88" y="14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57" name="Line 2081">
            <a:extLst>
              <a:ext uri="{FF2B5EF4-FFF2-40B4-BE49-F238E27FC236}">
                <a16:creationId xmlns:a16="http://schemas.microsoft.com/office/drawing/2014/main" id="{00000000-0008-0000-0800-0000291203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67" y="1509"/>
            <a:ext cx="103" cy="8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06" name="Text Box 2082">
            <a:extLst>
              <a:ext uri="{FF2B5EF4-FFF2-40B4-BE49-F238E27FC236}">
                <a16:creationId xmlns:a16="http://schemas.microsoft.com/office/drawing/2014/main" id="{00000000-0008-0000-0800-000022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0" y="1668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12-C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59" name="Line 2083">
            <a:extLst>
              <a:ext uri="{FF2B5EF4-FFF2-40B4-BE49-F238E27FC236}">
                <a16:creationId xmlns:a16="http://schemas.microsoft.com/office/drawing/2014/main" id="{00000000-0008-0000-0800-00002B1203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84" y="1705"/>
            <a:ext cx="112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1260" name="Line 2084">
            <a:extLst>
              <a:ext uri="{FF2B5EF4-FFF2-40B4-BE49-F238E27FC236}">
                <a16:creationId xmlns:a16="http://schemas.microsoft.com/office/drawing/2014/main" id="{00000000-0008-0000-0800-00002C120300}"/>
              </a:ext>
            </a:extLst>
          </xdr:cNvPr>
          <xdr:cNvSpPr>
            <a:spLocks noChangeShapeType="1"/>
          </xdr:cNvSpPr>
        </xdr:nvSpPr>
        <xdr:spPr bwMode="auto">
          <a:xfrm>
            <a:off x="2896" y="1705"/>
            <a:ext cx="0" cy="0"/>
          </a:xfrm>
          <a:prstGeom prst="line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 type="triangle" w="med" len="med"/>
              </a14:hiddenLine>
            </a:ext>
          </a:extLst>
        </xdr:spPr>
      </xdr:sp>
      <xdr:sp macro="" textlink="">
        <xdr:nvSpPr>
          <xdr:cNvPr id="28709" name="Text Box 2085">
            <a:extLst>
              <a:ext uri="{FF2B5EF4-FFF2-40B4-BE49-F238E27FC236}">
                <a16:creationId xmlns:a16="http://schemas.microsoft.com/office/drawing/2014/main" id="{00000000-0008-0000-0800-000025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7" y="1543"/>
            <a:ext cx="259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Wagon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0" name="Text Box 2086">
            <a:extLst>
              <a:ext uri="{FF2B5EF4-FFF2-40B4-BE49-F238E27FC236}">
                <a16:creationId xmlns:a16="http://schemas.microsoft.com/office/drawing/2014/main" id="{00000000-0008-0000-0800-000026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35" y="1596"/>
            <a:ext cx="259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Mound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1" name="Text Box 2087">
            <a:extLst>
              <a:ext uri="{FF2B5EF4-FFF2-40B4-BE49-F238E27FC236}">
                <a16:creationId xmlns:a16="http://schemas.microsoft.com/office/drawing/2014/main" id="{00000000-0008-0000-0800-000027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5" y="1383"/>
            <a:ext cx="153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3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2" name="Text Box 2088">
            <a:extLst>
              <a:ext uri="{FF2B5EF4-FFF2-40B4-BE49-F238E27FC236}">
                <a16:creationId xmlns:a16="http://schemas.microsoft.com/office/drawing/2014/main" id="{00000000-0008-0000-0800-000028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1" y="1525"/>
            <a:ext cx="153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Roy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3" name="Text Box 2089">
            <a:extLst>
              <a:ext uri="{FF2B5EF4-FFF2-40B4-BE49-F238E27FC236}">
                <a16:creationId xmlns:a16="http://schemas.microsoft.com/office/drawing/2014/main" id="{00000000-0008-0000-0800-000029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4" y="1757"/>
            <a:ext cx="88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4" name="Text Box 2090">
            <a:extLst>
              <a:ext uri="{FF2B5EF4-FFF2-40B4-BE49-F238E27FC236}">
                <a16:creationId xmlns:a16="http://schemas.microsoft.com/office/drawing/2014/main" id="{00000000-0008-0000-0800-00002A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66" y="1822"/>
            <a:ext cx="230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Mosquero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5" name="Text Box 2091">
            <a:extLst>
              <a:ext uri="{FF2B5EF4-FFF2-40B4-BE49-F238E27FC236}">
                <a16:creationId xmlns:a16="http://schemas.microsoft.com/office/drawing/2014/main" id="{00000000-0008-0000-0800-00002B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53" y="1324"/>
            <a:ext cx="27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Ocate 10-A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6" name="Text Box 2092">
            <a:extLst>
              <a:ext uri="{FF2B5EF4-FFF2-40B4-BE49-F238E27FC236}">
                <a16:creationId xmlns:a16="http://schemas.microsoft.com/office/drawing/2014/main" id="{00000000-0008-0000-0800-00002C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05" y="1395"/>
            <a:ext cx="159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45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17" name="Text Box 2093">
            <a:extLst>
              <a:ext uri="{FF2B5EF4-FFF2-40B4-BE49-F238E27FC236}">
                <a16:creationId xmlns:a16="http://schemas.microsoft.com/office/drawing/2014/main" id="{00000000-0008-0000-0800-00002D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11" y="1460"/>
            <a:ext cx="259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Espanola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70" name="Freeform 2094">
            <a:extLst>
              <a:ext uri="{FF2B5EF4-FFF2-40B4-BE49-F238E27FC236}">
                <a16:creationId xmlns:a16="http://schemas.microsoft.com/office/drawing/2014/main" id="{00000000-0008-0000-0800-000036120300}"/>
              </a:ext>
            </a:extLst>
          </xdr:cNvPr>
          <xdr:cNvSpPr>
            <a:spLocks/>
          </xdr:cNvSpPr>
        </xdr:nvSpPr>
        <xdr:spPr bwMode="auto">
          <a:xfrm>
            <a:off x="288" y="3024"/>
            <a:ext cx="795" cy="495"/>
          </a:xfrm>
          <a:custGeom>
            <a:avLst/>
            <a:gdLst>
              <a:gd name="T0" fmla="*/ 0 w 795"/>
              <a:gd name="T1" fmla="*/ 0 h 495"/>
              <a:gd name="T2" fmla="*/ 120 w 795"/>
              <a:gd name="T3" fmla="*/ 1 h 495"/>
              <a:gd name="T4" fmla="*/ 117 w 795"/>
              <a:gd name="T5" fmla="*/ 171 h 495"/>
              <a:gd name="T6" fmla="*/ 283 w 795"/>
              <a:gd name="T7" fmla="*/ 171 h 495"/>
              <a:gd name="T8" fmla="*/ 283 w 795"/>
              <a:gd name="T9" fmla="*/ 252 h 495"/>
              <a:gd name="T10" fmla="*/ 409 w 795"/>
              <a:gd name="T11" fmla="*/ 253 h 495"/>
              <a:gd name="T12" fmla="*/ 408 w 795"/>
              <a:gd name="T13" fmla="*/ 373 h 495"/>
              <a:gd name="T14" fmla="*/ 337 w 795"/>
              <a:gd name="T15" fmla="*/ 372 h 495"/>
              <a:gd name="T16" fmla="*/ 337 w 795"/>
              <a:gd name="T17" fmla="*/ 400 h 495"/>
              <a:gd name="T18" fmla="*/ 349 w 795"/>
              <a:gd name="T19" fmla="*/ 402 h 495"/>
              <a:gd name="T20" fmla="*/ 349 w 795"/>
              <a:gd name="T21" fmla="*/ 492 h 495"/>
              <a:gd name="T22" fmla="*/ 795 w 795"/>
              <a:gd name="T23" fmla="*/ 495 h 495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795"/>
              <a:gd name="T37" fmla="*/ 0 h 495"/>
              <a:gd name="T38" fmla="*/ 795 w 795"/>
              <a:gd name="T39" fmla="*/ 495 h 495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795" h="495">
                <a:moveTo>
                  <a:pt x="0" y="0"/>
                </a:moveTo>
                <a:lnTo>
                  <a:pt x="120" y="1"/>
                </a:lnTo>
                <a:lnTo>
                  <a:pt x="117" y="171"/>
                </a:lnTo>
                <a:lnTo>
                  <a:pt x="283" y="171"/>
                </a:lnTo>
                <a:lnTo>
                  <a:pt x="283" y="252"/>
                </a:lnTo>
                <a:lnTo>
                  <a:pt x="409" y="253"/>
                </a:lnTo>
                <a:lnTo>
                  <a:pt x="408" y="373"/>
                </a:lnTo>
                <a:cubicBezTo>
                  <a:pt x="338" y="372"/>
                  <a:pt x="362" y="372"/>
                  <a:pt x="337" y="372"/>
                </a:cubicBezTo>
                <a:lnTo>
                  <a:pt x="337" y="400"/>
                </a:lnTo>
                <a:lnTo>
                  <a:pt x="349" y="402"/>
                </a:lnTo>
                <a:lnTo>
                  <a:pt x="349" y="492"/>
                </a:lnTo>
                <a:lnTo>
                  <a:pt x="795" y="495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14:hiddenLine>
            </a:ext>
          </a:extLst>
        </xdr:spPr>
      </xdr:sp>
      <xdr:sp macro="" textlink="">
        <xdr:nvSpPr>
          <xdr:cNvPr id="201271" name="Freeform 2095">
            <a:extLst>
              <a:ext uri="{FF2B5EF4-FFF2-40B4-BE49-F238E27FC236}">
                <a16:creationId xmlns:a16="http://schemas.microsoft.com/office/drawing/2014/main" id="{00000000-0008-0000-0800-000037120300}"/>
              </a:ext>
            </a:extLst>
          </xdr:cNvPr>
          <xdr:cNvSpPr>
            <a:spLocks/>
          </xdr:cNvSpPr>
        </xdr:nvSpPr>
        <xdr:spPr bwMode="auto">
          <a:xfrm>
            <a:off x="273" y="3042"/>
            <a:ext cx="801" cy="492"/>
          </a:xfrm>
          <a:custGeom>
            <a:avLst/>
            <a:gdLst>
              <a:gd name="T0" fmla="*/ 0 w 801"/>
              <a:gd name="T1" fmla="*/ 2 h 492"/>
              <a:gd name="T2" fmla="*/ 123 w 801"/>
              <a:gd name="T3" fmla="*/ 0 h 492"/>
              <a:gd name="T4" fmla="*/ 123 w 801"/>
              <a:gd name="T5" fmla="*/ 170 h 492"/>
              <a:gd name="T6" fmla="*/ 287 w 801"/>
              <a:gd name="T7" fmla="*/ 170 h 492"/>
              <a:gd name="T8" fmla="*/ 287 w 801"/>
              <a:gd name="T9" fmla="*/ 248 h 492"/>
              <a:gd name="T10" fmla="*/ 413 w 801"/>
              <a:gd name="T11" fmla="*/ 248 h 492"/>
              <a:gd name="T12" fmla="*/ 413 w 801"/>
              <a:gd name="T13" fmla="*/ 374 h 492"/>
              <a:gd name="T14" fmla="*/ 341 w 801"/>
              <a:gd name="T15" fmla="*/ 374 h 492"/>
              <a:gd name="T16" fmla="*/ 341 w 801"/>
              <a:gd name="T17" fmla="*/ 402 h 492"/>
              <a:gd name="T18" fmla="*/ 354 w 801"/>
              <a:gd name="T19" fmla="*/ 402 h 492"/>
              <a:gd name="T20" fmla="*/ 354 w 801"/>
              <a:gd name="T21" fmla="*/ 492 h 492"/>
              <a:gd name="T22" fmla="*/ 801 w 801"/>
              <a:gd name="T23" fmla="*/ 492 h 492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801"/>
              <a:gd name="T37" fmla="*/ 0 h 492"/>
              <a:gd name="T38" fmla="*/ 801 w 801"/>
              <a:gd name="T39" fmla="*/ 492 h 492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801" h="492">
                <a:moveTo>
                  <a:pt x="0" y="2"/>
                </a:moveTo>
                <a:lnTo>
                  <a:pt x="123" y="0"/>
                </a:lnTo>
                <a:lnTo>
                  <a:pt x="123" y="170"/>
                </a:lnTo>
                <a:lnTo>
                  <a:pt x="287" y="170"/>
                </a:lnTo>
                <a:lnTo>
                  <a:pt x="287" y="248"/>
                </a:lnTo>
                <a:lnTo>
                  <a:pt x="413" y="248"/>
                </a:lnTo>
                <a:lnTo>
                  <a:pt x="413" y="374"/>
                </a:lnTo>
                <a:lnTo>
                  <a:pt x="341" y="374"/>
                </a:lnTo>
                <a:lnTo>
                  <a:pt x="341" y="402"/>
                </a:lnTo>
                <a:lnTo>
                  <a:pt x="354" y="402"/>
                </a:lnTo>
                <a:lnTo>
                  <a:pt x="354" y="492"/>
                </a:lnTo>
                <a:lnTo>
                  <a:pt x="801" y="492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20" name="Text Box 2096">
            <a:extLst>
              <a:ext uri="{FF2B5EF4-FFF2-40B4-BE49-F238E27FC236}">
                <a16:creationId xmlns:a16="http://schemas.microsoft.com/office/drawing/2014/main" id="{00000000-0008-0000-0800-000030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41" y="4509"/>
            <a:ext cx="94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14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73" name="Freeform 2097">
            <a:extLst>
              <a:ext uri="{FF2B5EF4-FFF2-40B4-BE49-F238E27FC236}">
                <a16:creationId xmlns:a16="http://schemas.microsoft.com/office/drawing/2014/main" id="{00000000-0008-0000-0800-000039120300}"/>
              </a:ext>
            </a:extLst>
          </xdr:cNvPr>
          <xdr:cNvSpPr>
            <a:spLocks/>
          </xdr:cNvSpPr>
        </xdr:nvSpPr>
        <xdr:spPr bwMode="auto">
          <a:xfrm>
            <a:off x="2202" y="3456"/>
            <a:ext cx="393" cy="521"/>
          </a:xfrm>
          <a:custGeom>
            <a:avLst/>
            <a:gdLst>
              <a:gd name="T0" fmla="*/ 0 w 393"/>
              <a:gd name="T1" fmla="*/ 440 h 521"/>
              <a:gd name="T2" fmla="*/ 0 w 393"/>
              <a:gd name="T3" fmla="*/ 326 h 521"/>
              <a:gd name="T4" fmla="*/ 29 w 393"/>
              <a:gd name="T5" fmla="*/ 326 h 521"/>
              <a:gd name="T6" fmla="*/ 30 w 393"/>
              <a:gd name="T7" fmla="*/ 314 h 521"/>
              <a:gd name="T8" fmla="*/ 84 w 393"/>
              <a:gd name="T9" fmla="*/ 314 h 521"/>
              <a:gd name="T10" fmla="*/ 84 w 393"/>
              <a:gd name="T11" fmla="*/ 336 h 521"/>
              <a:gd name="T12" fmla="*/ 120 w 393"/>
              <a:gd name="T13" fmla="*/ 336 h 521"/>
              <a:gd name="T14" fmla="*/ 120 w 393"/>
              <a:gd name="T15" fmla="*/ 216 h 521"/>
              <a:gd name="T16" fmla="*/ 152 w 393"/>
              <a:gd name="T17" fmla="*/ 216 h 521"/>
              <a:gd name="T18" fmla="*/ 149 w 393"/>
              <a:gd name="T19" fmla="*/ 120 h 521"/>
              <a:gd name="T20" fmla="*/ 186 w 393"/>
              <a:gd name="T21" fmla="*/ 120 h 521"/>
              <a:gd name="T22" fmla="*/ 186 w 393"/>
              <a:gd name="T23" fmla="*/ 137 h 521"/>
              <a:gd name="T24" fmla="*/ 233 w 393"/>
              <a:gd name="T25" fmla="*/ 137 h 521"/>
              <a:gd name="T26" fmla="*/ 233 w 393"/>
              <a:gd name="T27" fmla="*/ 105 h 521"/>
              <a:gd name="T28" fmla="*/ 257 w 393"/>
              <a:gd name="T29" fmla="*/ 105 h 521"/>
              <a:gd name="T30" fmla="*/ 251 w 393"/>
              <a:gd name="T31" fmla="*/ 0 h 521"/>
              <a:gd name="T32" fmla="*/ 344 w 393"/>
              <a:gd name="T33" fmla="*/ 2 h 521"/>
              <a:gd name="T34" fmla="*/ 345 w 393"/>
              <a:gd name="T35" fmla="*/ 80 h 521"/>
              <a:gd name="T36" fmla="*/ 329 w 393"/>
              <a:gd name="T37" fmla="*/ 81 h 521"/>
              <a:gd name="T38" fmla="*/ 329 w 393"/>
              <a:gd name="T39" fmla="*/ 93 h 521"/>
              <a:gd name="T40" fmla="*/ 314 w 393"/>
              <a:gd name="T41" fmla="*/ 95 h 521"/>
              <a:gd name="T42" fmla="*/ 315 w 393"/>
              <a:gd name="T43" fmla="*/ 107 h 521"/>
              <a:gd name="T44" fmla="*/ 291 w 393"/>
              <a:gd name="T45" fmla="*/ 107 h 521"/>
              <a:gd name="T46" fmla="*/ 293 w 393"/>
              <a:gd name="T47" fmla="*/ 141 h 521"/>
              <a:gd name="T48" fmla="*/ 351 w 393"/>
              <a:gd name="T49" fmla="*/ 141 h 521"/>
              <a:gd name="T50" fmla="*/ 353 w 393"/>
              <a:gd name="T51" fmla="*/ 296 h 521"/>
              <a:gd name="T52" fmla="*/ 393 w 393"/>
              <a:gd name="T53" fmla="*/ 296 h 521"/>
              <a:gd name="T54" fmla="*/ 389 w 393"/>
              <a:gd name="T55" fmla="*/ 359 h 521"/>
              <a:gd name="T56" fmla="*/ 374 w 393"/>
              <a:gd name="T57" fmla="*/ 362 h 521"/>
              <a:gd name="T58" fmla="*/ 374 w 393"/>
              <a:gd name="T59" fmla="*/ 383 h 521"/>
              <a:gd name="T60" fmla="*/ 360 w 393"/>
              <a:gd name="T61" fmla="*/ 381 h 521"/>
              <a:gd name="T62" fmla="*/ 360 w 393"/>
              <a:gd name="T63" fmla="*/ 416 h 521"/>
              <a:gd name="T64" fmla="*/ 348 w 393"/>
              <a:gd name="T65" fmla="*/ 432 h 521"/>
              <a:gd name="T66" fmla="*/ 320 w 393"/>
              <a:gd name="T67" fmla="*/ 432 h 521"/>
              <a:gd name="T68" fmla="*/ 318 w 393"/>
              <a:gd name="T69" fmla="*/ 414 h 521"/>
              <a:gd name="T70" fmla="*/ 279 w 393"/>
              <a:gd name="T71" fmla="*/ 414 h 521"/>
              <a:gd name="T72" fmla="*/ 278 w 393"/>
              <a:gd name="T73" fmla="*/ 521 h 521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393"/>
              <a:gd name="T112" fmla="*/ 0 h 521"/>
              <a:gd name="T113" fmla="*/ 393 w 393"/>
              <a:gd name="T114" fmla="*/ 521 h 521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393" h="521">
                <a:moveTo>
                  <a:pt x="0" y="440"/>
                </a:moveTo>
                <a:lnTo>
                  <a:pt x="0" y="326"/>
                </a:lnTo>
                <a:lnTo>
                  <a:pt x="29" y="326"/>
                </a:lnTo>
                <a:lnTo>
                  <a:pt x="30" y="314"/>
                </a:lnTo>
                <a:lnTo>
                  <a:pt x="84" y="314"/>
                </a:lnTo>
                <a:lnTo>
                  <a:pt x="84" y="336"/>
                </a:lnTo>
                <a:lnTo>
                  <a:pt x="120" y="336"/>
                </a:lnTo>
                <a:lnTo>
                  <a:pt x="120" y="216"/>
                </a:lnTo>
                <a:lnTo>
                  <a:pt x="152" y="216"/>
                </a:lnTo>
                <a:lnTo>
                  <a:pt x="149" y="120"/>
                </a:lnTo>
                <a:lnTo>
                  <a:pt x="186" y="120"/>
                </a:lnTo>
                <a:lnTo>
                  <a:pt x="186" y="137"/>
                </a:lnTo>
                <a:lnTo>
                  <a:pt x="233" y="137"/>
                </a:lnTo>
                <a:lnTo>
                  <a:pt x="233" y="105"/>
                </a:lnTo>
                <a:lnTo>
                  <a:pt x="257" y="105"/>
                </a:lnTo>
                <a:lnTo>
                  <a:pt x="251" y="0"/>
                </a:lnTo>
                <a:lnTo>
                  <a:pt x="344" y="2"/>
                </a:lnTo>
                <a:lnTo>
                  <a:pt x="345" y="80"/>
                </a:lnTo>
                <a:lnTo>
                  <a:pt x="329" y="81"/>
                </a:lnTo>
                <a:cubicBezTo>
                  <a:pt x="330" y="99"/>
                  <a:pt x="332" y="91"/>
                  <a:pt x="329" y="93"/>
                </a:cubicBezTo>
                <a:lnTo>
                  <a:pt x="314" y="95"/>
                </a:lnTo>
                <a:lnTo>
                  <a:pt x="315" y="107"/>
                </a:lnTo>
                <a:lnTo>
                  <a:pt x="291" y="107"/>
                </a:lnTo>
                <a:lnTo>
                  <a:pt x="293" y="141"/>
                </a:lnTo>
                <a:lnTo>
                  <a:pt x="351" y="141"/>
                </a:lnTo>
                <a:lnTo>
                  <a:pt x="353" y="296"/>
                </a:lnTo>
                <a:lnTo>
                  <a:pt x="393" y="296"/>
                </a:lnTo>
                <a:lnTo>
                  <a:pt x="389" y="359"/>
                </a:lnTo>
                <a:lnTo>
                  <a:pt x="374" y="362"/>
                </a:lnTo>
                <a:lnTo>
                  <a:pt x="374" y="383"/>
                </a:lnTo>
                <a:lnTo>
                  <a:pt x="360" y="381"/>
                </a:lnTo>
                <a:lnTo>
                  <a:pt x="360" y="416"/>
                </a:lnTo>
                <a:lnTo>
                  <a:pt x="348" y="432"/>
                </a:lnTo>
                <a:lnTo>
                  <a:pt x="320" y="432"/>
                </a:lnTo>
                <a:lnTo>
                  <a:pt x="318" y="414"/>
                </a:lnTo>
                <a:lnTo>
                  <a:pt x="279" y="414"/>
                </a:lnTo>
                <a:lnTo>
                  <a:pt x="278" y="521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74" name="Freeform 2098">
            <a:extLst>
              <a:ext uri="{FF2B5EF4-FFF2-40B4-BE49-F238E27FC236}">
                <a16:creationId xmlns:a16="http://schemas.microsoft.com/office/drawing/2014/main" id="{00000000-0008-0000-0800-00003A120300}"/>
              </a:ext>
            </a:extLst>
          </xdr:cNvPr>
          <xdr:cNvSpPr>
            <a:spLocks/>
          </xdr:cNvSpPr>
        </xdr:nvSpPr>
        <xdr:spPr bwMode="auto">
          <a:xfrm>
            <a:off x="2298" y="3813"/>
            <a:ext cx="185" cy="111"/>
          </a:xfrm>
          <a:custGeom>
            <a:avLst/>
            <a:gdLst>
              <a:gd name="T0" fmla="*/ 0 w 185"/>
              <a:gd name="T1" fmla="*/ 111 h 111"/>
              <a:gd name="T2" fmla="*/ 30 w 185"/>
              <a:gd name="T3" fmla="*/ 111 h 111"/>
              <a:gd name="T4" fmla="*/ 32 w 185"/>
              <a:gd name="T5" fmla="*/ 95 h 111"/>
              <a:gd name="T6" fmla="*/ 56 w 185"/>
              <a:gd name="T7" fmla="*/ 98 h 111"/>
              <a:gd name="T8" fmla="*/ 59 w 185"/>
              <a:gd name="T9" fmla="*/ 0 h 111"/>
              <a:gd name="T10" fmla="*/ 84 w 185"/>
              <a:gd name="T11" fmla="*/ 2 h 111"/>
              <a:gd name="T12" fmla="*/ 86 w 185"/>
              <a:gd name="T13" fmla="*/ 29 h 111"/>
              <a:gd name="T14" fmla="*/ 90 w 185"/>
              <a:gd name="T15" fmla="*/ 53 h 111"/>
              <a:gd name="T16" fmla="*/ 111 w 185"/>
              <a:gd name="T17" fmla="*/ 53 h 111"/>
              <a:gd name="T18" fmla="*/ 137 w 185"/>
              <a:gd name="T19" fmla="*/ 30 h 111"/>
              <a:gd name="T20" fmla="*/ 185 w 185"/>
              <a:gd name="T21" fmla="*/ 32 h 111"/>
              <a:gd name="T22" fmla="*/ 183 w 185"/>
              <a:gd name="T23" fmla="*/ 59 h 111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85"/>
              <a:gd name="T37" fmla="*/ 0 h 111"/>
              <a:gd name="T38" fmla="*/ 185 w 185"/>
              <a:gd name="T39" fmla="*/ 111 h 111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85" h="111">
                <a:moveTo>
                  <a:pt x="0" y="111"/>
                </a:moveTo>
                <a:lnTo>
                  <a:pt x="30" y="111"/>
                </a:lnTo>
                <a:lnTo>
                  <a:pt x="32" y="95"/>
                </a:lnTo>
                <a:lnTo>
                  <a:pt x="56" y="98"/>
                </a:lnTo>
                <a:lnTo>
                  <a:pt x="59" y="0"/>
                </a:lnTo>
                <a:lnTo>
                  <a:pt x="84" y="2"/>
                </a:lnTo>
                <a:lnTo>
                  <a:pt x="86" y="29"/>
                </a:lnTo>
                <a:lnTo>
                  <a:pt x="90" y="53"/>
                </a:lnTo>
                <a:lnTo>
                  <a:pt x="111" y="53"/>
                </a:lnTo>
                <a:lnTo>
                  <a:pt x="137" y="30"/>
                </a:lnTo>
                <a:lnTo>
                  <a:pt x="185" y="32"/>
                </a:lnTo>
                <a:lnTo>
                  <a:pt x="183" y="59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23" name="Text Box 2099">
            <a:extLst>
              <a:ext uri="{FF2B5EF4-FFF2-40B4-BE49-F238E27FC236}">
                <a16:creationId xmlns:a16="http://schemas.microsoft.com/office/drawing/2014/main" id="{00000000-0008-0000-0800-000033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1905"/>
            <a:ext cx="489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24" name="Text Box 2100">
            <a:extLst>
              <a:ext uri="{FF2B5EF4-FFF2-40B4-BE49-F238E27FC236}">
                <a16:creationId xmlns:a16="http://schemas.microsoft.com/office/drawing/2014/main" id="{00000000-0008-0000-0800-000034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88" y="778"/>
            <a:ext cx="312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25" name="Text Box 2101">
            <a:extLst>
              <a:ext uri="{FF2B5EF4-FFF2-40B4-BE49-F238E27FC236}">
                <a16:creationId xmlns:a16="http://schemas.microsoft.com/office/drawing/2014/main" id="{00000000-0008-0000-0800-000035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48" y="1608"/>
            <a:ext cx="442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</a:p>
          <a:p>
            <a:pPr algn="l" rtl="0">
              <a:lnSpc>
                <a:spcPts val="12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78" name="Freeform 2102">
            <a:extLst>
              <a:ext uri="{FF2B5EF4-FFF2-40B4-BE49-F238E27FC236}">
                <a16:creationId xmlns:a16="http://schemas.microsoft.com/office/drawing/2014/main" id="{00000000-0008-0000-0800-00003E120300}"/>
              </a:ext>
            </a:extLst>
          </xdr:cNvPr>
          <xdr:cNvSpPr>
            <a:spLocks/>
          </xdr:cNvSpPr>
        </xdr:nvSpPr>
        <xdr:spPr bwMode="auto">
          <a:xfrm>
            <a:off x="2841" y="4568"/>
            <a:ext cx="644" cy="129"/>
          </a:xfrm>
          <a:custGeom>
            <a:avLst/>
            <a:gdLst>
              <a:gd name="T0" fmla="*/ 0 w 644"/>
              <a:gd name="T1" fmla="*/ 129 h 129"/>
              <a:gd name="T2" fmla="*/ 147 w 644"/>
              <a:gd name="T3" fmla="*/ 129 h 129"/>
              <a:gd name="T4" fmla="*/ 147 w 644"/>
              <a:gd name="T5" fmla="*/ 79 h 129"/>
              <a:gd name="T6" fmla="*/ 318 w 644"/>
              <a:gd name="T7" fmla="*/ 79 h 129"/>
              <a:gd name="T8" fmla="*/ 320 w 644"/>
              <a:gd name="T9" fmla="*/ 39 h 129"/>
              <a:gd name="T10" fmla="*/ 512 w 644"/>
              <a:gd name="T11" fmla="*/ 40 h 129"/>
              <a:gd name="T12" fmla="*/ 513 w 644"/>
              <a:gd name="T13" fmla="*/ 0 h 129"/>
              <a:gd name="T14" fmla="*/ 644 w 644"/>
              <a:gd name="T15" fmla="*/ 0 h 129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644"/>
              <a:gd name="T25" fmla="*/ 0 h 129"/>
              <a:gd name="T26" fmla="*/ 644 w 644"/>
              <a:gd name="T27" fmla="*/ 129 h 129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644" h="129">
                <a:moveTo>
                  <a:pt x="0" y="129"/>
                </a:moveTo>
                <a:lnTo>
                  <a:pt x="147" y="129"/>
                </a:lnTo>
                <a:lnTo>
                  <a:pt x="147" y="79"/>
                </a:lnTo>
                <a:lnTo>
                  <a:pt x="318" y="79"/>
                </a:lnTo>
                <a:lnTo>
                  <a:pt x="320" y="39"/>
                </a:lnTo>
                <a:lnTo>
                  <a:pt x="512" y="40"/>
                </a:lnTo>
                <a:lnTo>
                  <a:pt x="513" y="0"/>
                </a:lnTo>
                <a:lnTo>
                  <a:pt x="644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27" name="Text Box 2103">
            <a:extLst>
              <a:ext uri="{FF2B5EF4-FFF2-40B4-BE49-F238E27FC236}">
                <a16:creationId xmlns:a16="http://schemas.microsoft.com/office/drawing/2014/main" id="{00000000-0008-0000-0800-000037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18" y="3886"/>
            <a:ext cx="241" cy="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Roswell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01280" name="Freeform 2104">
            <a:extLst>
              <a:ext uri="{FF2B5EF4-FFF2-40B4-BE49-F238E27FC236}">
                <a16:creationId xmlns:a16="http://schemas.microsoft.com/office/drawing/2014/main" id="{00000000-0008-0000-0800-000040120300}"/>
              </a:ext>
            </a:extLst>
          </xdr:cNvPr>
          <xdr:cNvSpPr>
            <a:spLocks/>
          </xdr:cNvSpPr>
        </xdr:nvSpPr>
        <xdr:spPr bwMode="auto">
          <a:xfrm>
            <a:off x="174" y="576"/>
            <a:ext cx="3789" cy="5118"/>
          </a:xfrm>
          <a:custGeom>
            <a:avLst/>
            <a:gdLst>
              <a:gd name="T0" fmla="*/ 194 w 3789"/>
              <a:gd name="T1" fmla="*/ 0 h 5118"/>
              <a:gd name="T2" fmla="*/ 0 w 3789"/>
              <a:gd name="T3" fmla="*/ 5118 h 5118"/>
              <a:gd name="T4" fmla="*/ 540 w 3789"/>
              <a:gd name="T5" fmla="*/ 5118 h 5118"/>
              <a:gd name="T6" fmla="*/ 549 w 3789"/>
              <a:gd name="T7" fmla="*/ 4749 h 5118"/>
              <a:gd name="T8" fmla="*/ 1608 w 3789"/>
              <a:gd name="T9" fmla="*/ 4772 h 5118"/>
              <a:gd name="T10" fmla="*/ 1548 w 3789"/>
              <a:gd name="T11" fmla="*/ 4710 h 5118"/>
              <a:gd name="T12" fmla="*/ 1538 w 3789"/>
              <a:gd name="T13" fmla="*/ 4667 h 5118"/>
              <a:gd name="T14" fmla="*/ 1554 w 3789"/>
              <a:gd name="T15" fmla="*/ 4620 h 5118"/>
              <a:gd name="T16" fmla="*/ 1545 w 3789"/>
              <a:gd name="T17" fmla="*/ 4596 h 5118"/>
              <a:gd name="T18" fmla="*/ 1571 w 3789"/>
              <a:gd name="T19" fmla="*/ 4580 h 5118"/>
              <a:gd name="T20" fmla="*/ 1617 w 3789"/>
              <a:gd name="T21" fmla="*/ 4572 h 5118"/>
              <a:gd name="T22" fmla="*/ 2670 w 3789"/>
              <a:gd name="T23" fmla="*/ 4587 h 5118"/>
              <a:gd name="T24" fmla="*/ 2681 w 3789"/>
              <a:gd name="T25" fmla="*/ 4590 h 5118"/>
              <a:gd name="T26" fmla="*/ 3789 w 3789"/>
              <a:gd name="T27" fmla="*/ 4596 h 5118"/>
              <a:gd name="T28" fmla="*/ 3789 w 3789"/>
              <a:gd name="T29" fmla="*/ 3177 h 5118"/>
              <a:gd name="T30" fmla="*/ 3764 w 3789"/>
              <a:gd name="T31" fmla="*/ 515 h 5118"/>
              <a:gd name="T32" fmla="*/ 3788 w 3789"/>
              <a:gd name="T33" fmla="*/ 515 h 5118"/>
              <a:gd name="T34" fmla="*/ 3786 w 3789"/>
              <a:gd name="T35" fmla="*/ 66 h 5118"/>
              <a:gd name="T36" fmla="*/ 1846 w 3789"/>
              <a:gd name="T37" fmla="*/ 65 h 5118"/>
              <a:gd name="T38" fmla="*/ 194 w 3789"/>
              <a:gd name="T39" fmla="*/ 0 h 5118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3789"/>
              <a:gd name="T61" fmla="*/ 0 h 5118"/>
              <a:gd name="T62" fmla="*/ 3789 w 3789"/>
              <a:gd name="T63" fmla="*/ 5118 h 5118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3789" h="5118">
                <a:moveTo>
                  <a:pt x="194" y="0"/>
                </a:moveTo>
                <a:lnTo>
                  <a:pt x="0" y="5118"/>
                </a:lnTo>
                <a:lnTo>
                  <a:pt x="540" y="5118"/>
                </a:lnTo>
                <a:lnTo>
                  <a:pt x="549" y="4749"/>
                </a:lnTo>
                <a:lnTo>
                  <a:pt x="1608" y="4772"/>
                </a:lnTo>
                <a:lnTo>
                  <a:pt x="1548" y="4710"/>
                </a:lnTo>
                <a:lnTo>
                  <a:pt x="1538" y="4667"/>
                </a:lnTo>
                <a:lnTo>
                  <a:pt x="1554" y="4620"/>
                </a:lnTo>
                <a:lnTo>
                  <a:pt x="1545" y="4596"/>
                </a:lnTo>
                <a:lnTo>
                  <a:pt x="1571" y="4580"/>
                </a:lnTo>
                <a:lnTo>
                  <a:pt x="1617" y="4572"/>
                </a:lnTo>
                <a:lnTo>
                  <a:pt x="2670" y="4587"/>
                </a:lnTo>
                <a:lnTo>
                  <a:pt x="2681" y="4590"/>
                </a:lnTo>
                <a:lnTo>
                  <a:pt x="3789" y="4596"/>
                </a:lnTo>
                <a:lnTo>
                  <a:pt x="3789" y="3177"/>
                </a:lnTo>
                <a:lnTo>
                  <a:pt x="3764" y="515"/>
                </a:lnTo>
                <a:lnTo>
                  <a:pt x="3788" y="515"/>
                </a:lnTo>
                <a:lnTo>
                  <a:pt x="3786" y="66"/>
                </a:lnTo>
                <a:lnTo>
                  <a:pt x="1846" y="65"/>
                </a:lnTo>
                <a:lnTo>
                  <a:pt x="194" y="0"/>
                </a:lnTo>
                <a:close/>
              </a:path>
            </a:pathLst>
          </a:custGeom>
          <a:noFill/>
          <a:ln w="2540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729" name="Text Box 2105">
            <a:extLst>
              <a:ext uri="{FF2B5EF4-FFF2-40B4-BE49-F238E27FC236}">
                <a16:creationId xmlns:a16="http://schemas.microsoft.com/office/drawing/2014/main" id="{00000000-0008-0000-0800-000039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13" y="2730"/>
            <a:ext cx="212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House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0" name="Text Box 2106">
            <a:extLst>
              <a:ext uri="{FF2B5EF4-FFF2-40B4-BE49-F238E27FC236}">
                <a16:creationId xmlns:a16="http://schemas.microsoft.com/office/drawing/2014/main" id="{00000000-0008-0000-0800-00003A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4" y="1128"/>
            <a:ext cx="94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Taos</a:t>
            </a: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1" name="Text Box 2107">
            <a:extLst>
              <a:ext uri="{FF2B5EF4-FFF2-40B4-BE49-F238E27FC236}">
                <a16:creationId xmlns:a16="http://schemas.microsoft.com/office/drawing/2014/main" id="{00000000-0008-0000-0800-00003B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4" y="1780"/>
            <a:ext cx="147" cy="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6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Santa Fe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2" name="Text Box 2108">
            <a:extLst>
              <a:ext uri="{FF2B5EF4-FFF2-40B4-BE49-F238E27FC236}">
                <a16:creationId xmlns:a16="http://schemas.microsoft.com/office/drawing/2014/main" id="{00000000-0008-0000-0800-00003C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9" y="2575"/>
            <a:ext cx="71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7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3" name="Text Box 2109">
            <a:extLst>
              <a:ext uri="{FF2B5EF4-FFF2-40B4-BE49-F238E27FC236}">
                <a16:creationId xmlns:a16="http://schemas.microsoft.com/office/drawing/2014/main" id="{00000000-0008-0000-0800-00003D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65" y="3442"/>
            <a:ext cx="47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4" name="Text Box 2110">
            <a:extLst>
              <a:ext uri="{FF2B5EF4-FFF2-40B4-BE49-F238E27FC236}">
                <a16:creationId xmlns:a16="http://schemas.microsoft.com/office/drawing/2014/main" id="{00000000-0008-0000-0800-00003E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01" y="3293"/>
            <a:ext cx="153" cy="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7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Elida</a:t>
            </a: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5" name="Text Box 2111">
            <a:extLst>
              <a:ext uri="{FF2B5EF4-FFF2-40B4-BE49-F238E27FC236}">
                <a16:creationId xmlns:a16="http://schemas.microsoft.com/office/drawing/2014/main" id="{00000000-0008-0000-0800-00003F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95" y="4331"/>
            <a:ext cx="100" cy="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16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6" name="Text Box 2112">
            <a:extLst>
              <a:ext uri="{FF2B5EF4-FFF2-40B4-BE49-F238E27FC236}">
                <a16:creationId xmlns:a16="http://schemas.microsoft.com/office/drawing/2014/main" id="{00000000-0008-0000-0800-000040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0" y="1335"/>
            <a:ext cx="289" cy="1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County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8737" name="Text Box 2113">
            <a:extLst>
              <a:ext uri="{FF2B5EF4-FFF2-40B4-BE49-F238E27FC236}">
                <a16:creationId xmlns:a16="http://schemas.microsoft.com/office/drawing/2014/main" id="{00000000-0008-0000-0800-000041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9" y="5500"/>
            <a:ext cx="253" cy="154"/>
          </a:xfrm>
          <a:prstGeom prst="rect">
            <a:avLst/>
          </a:prstGeom>
          <a:noFill/>
          <a:ln w="1587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1290" name="Freeform 2114">
            <a:extLst>
              <a:ext uri="{FF2B5EF4-FFF2-40B4-BE49-F238E27FC236}">
                <a16:creationId xmlns:a16="http://schemas.microsoft.com/office/drawing/2014/main" id="{00000000-0008-0000-0800-00004A120300}"/>
              </a:ext>
            </a:extLst>
          </xdr:cNvPr>
          <xdr:cNvSpPr>
            <a:spLocks/>
          </xdr:cNvSpPr>
        </xdr:nvSpPr>
        <xdr:spPr bwMode="auto">
          <a:xfrm>
            <a:off x="2792" y="1728"/>
            <a:ext cx="522" cy="352"/>
          </a:xfrm>
          <a:custGeom>
            <a:avLst/>
            <a:gdLst>
              <a:gd name="T0" fmla="*/ 0 w 522"/>
              <a:gd name="T1" fmla="*/ 352 h 352"/>
              <a:gd name="T2" fmla="*/ 63 w 522"/>
              <a:gd name="T3" fmla="*/ 318 h 352"/>
              <a:gd name="T4" fmla="*/ 204 w 522"/>
              <a:gd name="T5" fmla="*/ 281 h 352"/>
              <a:gd name="T6" fmla="*/ 189 w 522"/>
              <a:gd name="T7" fmla="*/ 168 h 352"/>
              <a:gd name="T8" fmla="*/ 259 w 522"/>
              <a:gd name="T9" fmla="*/ 88 h 352"/>
              <a:gd name="T10" fmla="*/ 259 w 522"/>
              <a:gd name="T11" fmla="*/ 119 h 352"/>
              <a:gd name="T12" fmla="*/ 299 w 522"/>
              <a:gd name="T13" fmla="*/ 116 h 352"/>
              <a:gd name="T14" fmla="*/ 314 w 522"/>
              <a:gd name="T15" fmla="*/ 140 h 352"/>
              <a:gd name="T16" fmla="*/ 522 w 522"/>
              <a:gd name="T17" fmla="*/ 0 h 352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22"/>
              <a:gd name="T28" fmla="*/ 0 h 352"/>
              <a:gd name="T29" fmla="*/ 522 w 522"/>
              <a:gd name="T30" fmla="*/ 352 h 352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22" h="352">
                <a:moveTo>
                  <a:pt x="0" y="352"/>
                </a:moveTo>
                <a:lnTo>
                  <a:pt x="63" y="318"/>
                </a:lnTo>
                <a:lnTo>
                  <a:pt x="204" y="281"/>
                </a:lnTo>
                <a:lnTo>
                  <a:pt x="189" y="168"/>
                </a:lnTo>
                <a:lnTo>
                  <a:pt x="259" y="88"/>
                </a:lnTo>
                <a:lnTo>
                  <a:pt x="259" y="119"/>
                </a:lnTo>
                <a:lnTo>
                  <a:pt x="299" y="116"/>
                </a:lnTo>
                <a:lnTo>
                  <a:pt x="314" y="140"/>
                </a:lnTo>
                <a:lnTo>
                  <a:pt x="522" y="0"/>
                </a:lnTo>
              </a:path>
            </a:pathLst>
          </a:custGeom>
          <a:noFill/>
          <a:ln w="9525" cap="flat" cmpd="sng">
            <a:solidFill>
              <a:srgbClr val="333399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1291" name="Freeform 2115">
            <a:extLst>
              <a:ext uri="{FF2B5EF4-FFF2-40B4-BE49-F238E27FC236}">
                <a16:creationId xmlns:a16="http://schemas.microsoft.com/office/drawing/2014/main" id="{00000000-0008-0000-0800-00004B120300}"/>
              </a:ext>
            </a:extLst>
          </xdr:cNvPr>
          <xdr:cNvSpPr>
            <a:spLocks/>
          </xdr:cNvSpPr>
        </xdr:nvSpPr>
        <xdr:spPr bwMode="auto">
          <a:xfrm>
            <a:off x="2578" y="2160"/>
            <a:ext cx="144" cy="94"/>
          </a:xfrm>
          <a:custGeom>
            <a:avLst/>
            <a:gdLst>
              <a:gd name="T0" fmla="*/ 144 w 144"/>
              <a:gd name="T1" fmla="*/ 92 h 94"/>
              <a:gd name="T2" fmla="*/ 110 w 144"/>
              <a:gd name="T3" fmla="*/ 70 h 94"/>
              <a:gd name="T4" fmla="*/ 68 w 144"/>
              <a:gd name="T5" fmla="*/ 66 h 94"/>
              <a:gd name="T6" fmla="*/ 62 w 144"/>
              <a:gd name="T7" fmla="*/ 26 h 94"/>
              <a:gd name="T8" fmla="*/ 0 w 144"/>
              <a:gd name="T9" fmla="*/ 0 h 94"/>
              <a:gd name="T10" fmla="*/ 8 w 144"/>
              <a:gd name="T11" fmla="*/ 34 h 94"/>
              <a:gd name="T12" fmla="*/ 8 w 144"/>
              <a:gd name="T13" fmla="*/ 94 h 9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44"/>
              <a:gd name="T22" fmla="*/ 0 h 94"/>
              <a:gd name="T23" fmla="*/ 144 w 144"/>
              <a:gd name="T24" fmla="*/ 94 h 9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44" h="94">
                <a:moveTo>
                  <a:pt x="144" y="92"/>
                </a:moveTo>
                <a:lnTo>
                  <a:pt x="110" y="70"/>
                </a:lnTo>
                <a:lnTo>
                  <a:pt x="68" y="66"/>
                </a:lnTo>
                <a:lnTo>
                  <a:pt x="62" y="26"/>
                </a:lnTo>
                <a:lnTo>
                  <a:pt x="0" y="0"/>
                </a:lnTo>
                <a:lnTo>
                  <a:pt x="8" y="34"/>
                </a:lnTo>
                <a:lnTo>
                  <a:pt x="8" y="94"/>
                </a:lnTo>
              </a:path>
            </a:pathLst>
          </a:custGeom>
          <a:noFill/>
          <a:ln w="9525" cap="flat">
            <a:solidFill>
              <a:srgbClr val="0000FF"/>
            </a:solidFill>
            <a:prstDash val="sysDot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25</xdr:row>
      <xdr:rowOff>152400</xdr:rowOff>
    </xdr:from>
    <xdr:to>
      <xdr:col>23</xdr:col>
      <xdr:colOff>381000</xdr:colOff>
      <xdr:row>49</xdr:row>
      <xdr:rowOff>104775</xdr:rowOff>
    </xdr:to>
    <xdr:graphicFrame macro="">
      <xdr:nvGraphicFramePr>
        <xdr:cNvPr id="135172" name="Chart 1">
          <a:extLst>
            <a:ext uri="{FF2B5EF4-FFF2-40B4-BE49-F238E27FC236}">
              <a16:creationId xmlns:a16="http://schemas.microsoft.com/office/drawing/2014/main" id="{00000000-0008-0000-0C00-000004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182880</xdr:colOff>
      <xdr:row>51</xdr:row>
      <xdr:rowOff>142240</xdr:rowOff>
    </xdr:from>
    <xdr:to>
      <xdr:col>23</xdr:col>
      <xdr:colOff>365760</xdr:colOff>
      <xdr:row>74</xdr:row>
      <xdr:rowOff>132080</xdr:rowOff>
    </xdr:to>
    <xdr:graphicFrame macro="">
      <xdr:nvGraphicFramePr>
        <xdr:cNvPr id="135173" name="Chart 2">
          <a:extLst>
            <a:ext uri="{FF2B5EF4-FFF2-40B4-BE49-F238E27FC236}">
              <a16:creationId xmlns:a16="http://schemas.microsoft.com/office/drawing/2014/main" id="{00000000-0008-0000-0C00-0000051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388620</xdr:colOff>
      <xdr:row>15</xdr:row>
      <xdr:rowOff>7620</xdr:rowOff>
    </xdr:from>
    <xdr:to>
      <xdr:col>25</xdr:col>
      <xdr:colOff>327659</xdr:colOff>
      <xdr:row>35</xdr:row>
      <xdr:rowOff>104775</xdr:rowOff>
    </xdr:to>
    <xdr:graphicFrame macro="">
      <xdr:nvGraphicFramePr>
        <xdr:cNvPr id="30815" name="Chart 2">
          <a:extLst>
            <a:ext uri="{FF2B5EF4-FFF2-40B4-BE49-F238E27FC236}">
              <a16:creationId xmlns:a16="http://schemas.microsoft.com/office/drawing/2014/main" id="{00000000-0008-0000-0D00-00005F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359092</xdr:colOff>
      <xdr:row>118</xdr:row>
      <xdr:rowOff>15240</xdr:rowOff>
    </xdr:from>
    <xdr:to>
      <xdr:col>43</xdr:col>
      <xdr:colOff>601981</xdr:colOff>
      <xdr:row>161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63</xdr:row>
      <xdr:rowOff>53340</xdr:rowOff>
    </xdr:from>
    <xdr:to>
      <xdr:col>41</xdr:col>
      <xdr:colOff>495299</xdr:colOff>
      <xdr:row>107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%20drive%20backup\00%20current%20files\2008%20Facts\misc\CAB%20values%20and%20obligations%20from%20CAVAL08%20July%2015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PROPERTY%20TAXES(protected%20info)/2013%20taxrates/2013%20PROPERTY%20TAX%20WORKBO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te%20Certificates%20in%20Excel%20Tabs3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%20drive%20backup\2007%20Property%20Tax\2007%20property%20tax%20fa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ligations &amp; CAB Data by Cnty"/>
      <sheetName val="Display Tables by Industry"/>
      <sheetName val="Indust08"/>
      <sheetName val="CAVAL08"/>
    </sheetNames>
    <sheetDataSet>
      <sheetData sheetId="0"/>
      <sheetData sheetId="1"/>
      <sheetData sheetId="2"/>
      <sheetData sheetId="3">
        <row r="1">
          <cell r="B1">
            <v>40022</v>
          </cell>
          <cell r="F1">
            <v>40022</v>
          </cell>
          <cell r="J1">
            <v>40022</v>
          </cell>
          <cell r="N1">
            <v>40022</v>
          </cell>
          <cell r="R1">
            <v>40022</v>
          </cell>
          <cell r="V1">
            <v>40022</v>
          </cell>
          <cell r="Z1">
            <v>40022.821895023146</v>
          </cell>
          <cell r="AD1">
            <v>40022</v>
          </cell>
          <cell r="AH1">
            <v>40022</v>
          </cell>
          <cell r="AL1">
            <v>40022</v>
          </cell>
          <cell r="AP1">
            <v>40022</v>
          </cell>
          <cell r="AT1">
            <v>40022</v>
          </cell>
          <cell r="AX1">
            <v>40022</v>
          </cell>
          <cell r="BB1">
            <v>40022</v>
          </cell>
          <cell r="BF1">
            <v>40022</v>
          </cell>
          <cell r="BJ1">
            <v>40022</v>
          </cell>
          <cell r="BN1">
            <v>40022</v>
          </cell>
          <cell r="BR1">
            <v>40022</v>
          </cell>
          <cell r="BV1">
            <v>40022</v>
          </cell>
          <cell r="BZ1">
            <v>40022</v>
          </cell>
          <cell r="CD1">
            <v>40022</v>
          </cell>
          <cell r="CH1">
            <v>40022</v>
          </cell>
          <cell r="CL1">
            <v>40022</v>
          </cell>
          <cell r="CP1">
            <v>40022.821895023146</v>
          </cell>
          <cell r="CT1">
            <v>40022</v>
          </cell>
          <cell r="CX1">
            <v>40022</v>
          </cell>
          <cell r="DB1">
            <v>40022</v>
          </cell>
          <cell r="DF1">
            <v>40022</v>
          </cell>
          <cell r="DJ1">
            <v>40022</v>
          </cell>
          <cell r="DN1">
            <v>40022</v>
          </cell>
          <cell r="DR1">
            <v>40022</v>
          </cell>
          <cell r="DV1">
            <v>40022</v>
          </cell>
          <cell r="DZ1">
            <v>40022.821895023146</v>
          </cell>
        </row>
        <row r="2">
          <cell r="A2" t="str">
            <v xml:space="preserve">BERNALILLO COUNTY -  - </v>
          </cell>
          <cell r="D2" t="str">
            <v>TAX YEAR  08</v>
          </cell>
          <cell r="E2" t="str">
            <v xml:space="preserve">CATRON COUNTY - CENTRAL AND ASSESSORS VALUATION - </v>
          </cell>
          <cell r="H2" t="str">
            <v>TAX YEAR  08</v>
          </cell>
          <cell r="I2" t="str">
            <v>CHAVES COUNTY - CENTRAL AND ASSESSORS VALUATION -</v>
          </cell>
          <cell r="L2" t="str">
            <v>TAX YEAR  08</v>
          </cell>
          <cell r="M2" t="str">
            <v xml:space="preserve">CIBOLA COUNTY - CENTRAL AND ASSESSORS VALUATION - </v>
          </cell>
          <cell r="P2" t="str">
            <v>TAX YEAR  08</v>
          </cell>
          <cell r="Q2" t="str">
            <v>COLFAX COUNTY - CENTRAL AND ASSESSORS VALUATION -</v>
          </cell>
          <cell r="T2" t="str">
            <v>TAX YEAR  08</v>
          </cell>
          <cell r="U2" t="str">
            <v>CURRY COUNTY - CENTRAL AND ASSESSORS VALUATION -</v>
          </cell>
          <cell r="X2" t="str">
            <v>TAX YEAR  08</v>
          </cell>
          <cell r="Y2" t="str">
            <v xml:space="preserve">DE BACA COUNTY - CENTRAL AND ASSESSORS VALUATION - </v>
          </cell>
          <cell r="AB2" t="str">
            <v>TAX YEAR  08</v>
          </cell>
          <cell r="AC2" t="str">
            <v>DONA ANA COUNTY - CENTRAL AND ASSESSORS VALUATION -</v>
          </cell>
          <cell r="AF2" t="str">
            <v>TAX YEAR  08</v>
          </cell>
          <cell r="AG2" t="str">
            <v>EDDY COUNTY - CENTRAL AND ASSESSORS VALUATION -</v>
          </cell>
          <cell r="AJ2" t="str">
            <v>TAX YEAR  08</v>
          </cell>
          <cell r="AK2" t="str">
            <v>GRANT COUNTY - CENTRAL AND ASSESSORS VALUATION -</v>
          </cell>
          <cell r="AN2" t="str">
            <v>TAX YEAR  08</v>
          </cell>
          <cell r="AO2" t="str">
            <v>GUADALUPE COUNTY - CENTRAL AND ASSESSORS VALUATION -</v>
          </cell>
          <cell r="AR2" t="str">
            <v>TAX YEAR  08</v>
          </cell>
          <cell r="AS2" t="str">
            <v>HARDING COUNTY - CENTRAL AND ASSESSORS VALUATION -</v>
          </cell>
          <cell r="AV2" t="str">
            <v>TAX YEAR  08</v>
          </cell>
          <cell r="AW2" t="str">
            <v>HIDALGO COUNTY - CENTRAL AND ASSESSORS VALUATION -</v>
          </cell>
          <cell r="AZ2" t="str">
            <v>TAX YEAR  08</v>
          </cell>
          <cell r="BA2" t="str">
            <v>LEA COUNTY - CENTRAL AND ASSESSORS VALUATION -</v>
          </cell>
          <cell r="BD2" t="str">
            <v>TAX YEAR  08</v>
          </cell>
          <cell r="BE2" t="str">
            <v>LINCOLN COUNTY - CENTRAL AND ASSESSORS VALUATION -</v>
          </cell>
          <cell r="BH2" t="str">
            <v>TAX YEAR  08</v>
          </cell>
          <cell r="BI2" t="str">
            <v>LOS ALAMOS COUNTY - CENTRAL AND ASSESSORS VALUATION -</v>
          </cell>
          <cell r="BL2" t="str">
            <v>TAX YEAR  08</v>
          </cell>
          <cell r="BM2" t="str">
            <v>LUNA COUNTY - CENTRAL AND ASSESSORS VALUATION -</v>
          </cell>
          <cell r="BP2" t="str">
            <v>TAX YEAR  08</v>
          </cell>
          <cell r="BQ2" t="str">
            <v>MCKINLEY COUNTY - CENTRAL AND ASSESSORS VALUATION -</v>
          </cell>
          <cell r="BT2" t="str">
            <v>TAX YEAR  08</v>
          </cell>
          <cell r="BU2" t="str">
            <v>MORA COUNTY - CENTRAL AND ASSESSORS VALUATION -</v>
          </cell>
          <cell r="BX2" t="str">
            <v>TAX YEAR  08</v>
          </cell>
          <cell r="BY2" t="str">
            <v>OTERO COUNTY - CENTRAL AND ASSESSORS VALUATION -</v>
          </cell>
          <cell r="CB2" t="str">
            <v>TAX YEAR  08</v>
          </cell>
          <cell r="CC2" t="str">
            <v>QUAY COUNTY - CENTRAL AND ASSESSORS VALUATION -</v>
          </cell>
          <cell r="CF2" t="str">
            <v>TAX YEAR  08</v>
          </cell>
          <cell r="CG2" t="str">
            <v>RIO ARRIBA COUNTY - CENTRAL AND ASSESSORS VALUATION -</v>
          </cell>
          <cell r="CJ2" t="str">
            <v>TAX YEAR  08</v>
          </cell>
          <cell r="CK2" t="str">
            <v>ROOSEVELT COUNTY - CENTRAL AND ASSESSORS VALUATION -</v>
          </cell>
          <cell r="CN2" t="str">
            <v>TAX YEAR  08</v>
          </cell>
          <cell r="CO2" t="str">
            <v>SANDOVAL COUNTY - CENTRAL AND ASSESSORS VALUATION -</v>
          </cell>
          <cell r="CR2" t="str">
            <v>TAX YEAR  08</v>
          </cell>
          <cell r="CS2" t="str">
            <v>SAN JUAN COUNTY - CENTRAL AND ASSESSORS VALUATION -</v>
          </cell>
          <cell r="CV2" t="str">
            <v>TAX YEAR  08</v>
          </cell>
          <cell r="CW2" t="str">
            <v>SAN MIGUEL COUNTY - CENTRAL AND ASSESSORS VALUATION -</v>
          </cell>
          <cell r="CZ2" t="str">
            <v>TAX YEAR 2004</v>
          </cell>
          <cell r="DA2" t="str">
            <v>SANTA FE COUNTY - CENTRAL AND ASSESSORS VALUATION -</v>
          </cell>
          <cell r="DD2" t="str">
            <v>TAX YEAR  08</v>
          </cell>
          <cell r="DE2" t="str">
            <v>SIERRA COUNTY - CENTRAL AND ASSESSORS VALUATION -</v>
          </cell>
          <cell r="DH2" t="str">
            <v>TAX YEAR  08</v>
          </cell>
          <cell r="DI2" t="str">
            <v>SOCORRO COUNTY - CENTRAL AND ASSESSORS VALUATION -</v>
          </cell>
          <cell r="DL2" t="str">
            <v>TAX YEAR  08</v>
          </cell>
          <cell r="DM2" t="str">
            <v>TAOS  COUNTY - CENTRAL AND ASSESSORS VALUATION -</v>
          </cell>
          <cell r="DP2" t="str">
            <v>TAX YEAR  08</v>
          </cell>
          <cell r="DQ2" t="str">
            <v>TORRANCE  COUNTY - CENTRAL AND ASSESSORS VALUATION -</v>
          </cell>
          <cell r="DT2" t="str">
            <v>TAX YEAR  08</v>
          </cell>
          <cell r="DU2" t="str">
            <v>UNION COUNTY - CENTRAL AND ASSESSORS VALUATION -</v>
          </cell>
          <cell r="DX2" t="str">
            <v>TAX YEAR  08</v>
          </cell>
          <cell r="DY2" t="str">
            <v>VALENCIA COUNTY - CENTRAL AND ASSESSORS VALUATION -</v>
          </cell>
          <cell r="EB2" t="str">
            <v>TAX YEAR  08</v>
          </cell>
          <cell r="ED2" t="str">
            <v xml:space="preserve">   'COUNTIES</v>
          </cell>
          <cell r="EE2" t="str">
            <v xml:space="preserve">   CENTRAL</v>
          </cell>
          <cell r="EF2" t="str">
            <v>ASSESSOR'S</v>
          </cell>
        </row>
        <row r="3">
          <cell r="EE3" t="str">
            <v xml:space="preserve">   VALUE</v>
          </cell>
          <cell r="EF3" t="str">
            <v>VALUE</v>
          </cell>
        </row>
        <row r="4">
          <cell r="B4" t="str">
            <v>CENTRAL**</v>
          </cell>
          <cell r="C4" t="str">
            <v>ASSESSOR'S*</v>
          </cell>
          <cell r="F4" t="str">
            <v>CENTRAL**</v>
          </cell>
          <cell r="G4" t="str">
            <v>ASSESSOR'S*</v>
          </cell>
          <cell r="J4" t="str">
            <v>CENTRAL**</v>
          </cell>
          <cell r="K4" t="str">
            <v>ASSESSOR'S*</v>
          </cell>
          <cell r="N4" t="str">
            <v>CENTRAL**</v>
          </cell>
          <cell r="O4" t="str">
            <v>ASSESSOR'S*</v>
          </cell>
          <cell r="R4" t="str">
            <v>CENTRAL**</v>
          </cell>
          <cell r="S4" t="str">
            <v>ASSESSOR'S*</v>
          </cell>
          <cell r="V4" t="str">
            <v>CENTRAL**</v>
          </cell>
          <cell r="W4" t="str">
            <v>ASSESSOR'S*</v>
          </cell>
          <cell r="Z4" t="str">
            <v>CENTRAL**</v>
          </cell>
          <cell r="AA4" t="str">
            <v>ASSESSOR'S*</v>
          </cell>
          <cell r="AD4" t="str">
            <v>CENTRAL**</v>
          </cell>
          <cell r="AE4" t="str">
            <v>ASSESSOR'S*</v>
          </cell>
          <cell r="AH4" t="str">
            <v>CENTRAL**</v>
          </cell>
          <cell r="AI4" t="str">
            <v>ASSESSOR'S*</v>
          </cell>
          <cell r="AL4" t="str">
            <v>CENTRAL**</v>
          </cell>
          <cell r="AM4" t="str">
            <v>ASSESSOR'S*</v>
          </cell>
          <cell r="AP4" t="str">
            <v>CENTRAL**</v>
          </cell>
          <cell r="AQ4" t="str">
            <v>ASSESSOR'S*</v>
          </cell>
          <cell r="AT4" t="str">
            <v>CENTRAL**</v>
          </cell>
          <cell r="AU4" t="str">
            <v>ASSESSOR'S*</v>
          </cell>
          <cell r="AX4" t="str">
            <v>CENTRAL**</v>
          </cell>
          <cell r="AY4" t="str">
            <v>ASSESSOR'S*</v>
          </cell>
          <cell r="BB4" t="str">
            <v>CENTRAL**</v>
          </cell>
          <cell r="BC4" t="str">
            <v>ASSESSOR'S*</v>
          </cell>
          <cell r="BF4" t="str">
            <v>CENTRAL**</v>
          </cell>
          <cell r="BG4" t="str">
            <v>ASSESSOR'S*</v>
          </cell>
          <cell r="BJ4" t="str">
            <v>CENTRAL**</v>
          </cell>
          <cell r="BK4" t="str">
            <v>ASSESSOR'S*</v>
          </cell>
          <cell r="BN4" t="str">
            <v>CENTRAL**</v>
          </cell>
          <cell r="BO4" t="str">
            <v>ASSESSOR'S*</v>
          </cell>
          <cell r="BR4" t="str">
            <v>CENTRAL**</v>
          </cell>
          <cell r="BS4" t="str">
            <v>ASSESSOR'S*</v>
          </cell>
          <cell r="BV4" t="str">
            <v>CENTRAL**</v>
          </cell>
          <cell r="BW4" t="str">
            <v>ASSESSOR'S*</v>
          </cell>
          <cell r="BZ4" t="str">
            <v>CENTRAL**</v>
          </cell>
          <cell r="CA4" t="str">
            <v>ASSESSOR'S*</v>
          </cell>
          <cell r="CD4" t="str">
            <v>CENTRAL**</v>
          </cell>
          <cell r="CE4" t="str">
            <v>ASSESSOR'S*</v>
          </cell>
          <cell r="CH4" t="str">
            <v>CENTRAL**</v>
          </cell>
          <cell r="CI4" t="str">
            <v>ASSESSOR'S*</v>
          </cell>
          <cell r="CL4" t="str">
            <v>CENTRAL**</v>
          </cell>
          <cell r="CM4" t="str">
            <v>ASSESSOR'S*</v>
          </cell>
          <cell r="CP4" t="str">
            <v>CENTRAL**</v>
          </cell>
          <cell r="CQ4" t="str">
            <v>ASSESSOR'S*</v>
          </cell>
          <cell r="CT4" t="str">
            <v>CENTRAL**</v>
          </cell>
          <cell r="CU4" t="str">
            <v>ASSESSOR'S*</v>
          </cell>
          <cell r="CX4" t="str">
            <v>CENTRAL**</v>
          </cell>
          <cell r="CY4" t="str">
            <v>ASSESSOR'S*</v>
          </cell>
          <cell r="DB4" t="str">
            <v>CENTRAL**</v>
          </cell>
          <cell r="DC4" t="str">
            <v>ASSESSOR'S*</v>
          </cell>
          <cell r="DF4" t="str">
            <v>CENTRAL**</v>
          </cell>
          <cell r="DG4" t="str">
            <v>ASSESSOR'S*</v>
          </cell>
          <cell r="DJ4" t="str">
            <v>CENTRAL**</v>
          </cell>
          <cell r="DK4" t="str">
            <v>ASSESSOR'S*</v>
          </cell>
          <cell r="DN4" t="str">
            <v>CENTRAL**</v>
          </cell>
          <cell r="DO4" t="str">
            <v>ASSESSOR'S*</v>
          </cell>
          <cell r="DR4" t="str">
            <v>CENTRAL**</v>
          </cell>
          <cell r="DS4" t="str">
            <v>ASSESSOR'S*</v>
          </cell>
          <cell r="DV4" t="str">
            <v>CENTRAL**</v>
          </cell>
          <cell r="DW4" t="str">
            <v>ASSESSOR'S*</v>
          </cell>
          <cell r="DZ4" t="str">
            <v>CENTRAL**</v>
          </cell>
          <cell r="EA4" t="str">
            <v>ASSESSOR'S*</v>
          </cell>
        </row>
        <row r="5">
          <cell r="A5" t="str">
            <v>SCHOOL DISTRICT</v>
          </cell>
          <cell r="B5" t="str">
            <v>VALUATION</v>
          </cell>
          <cell r="C5" t="str">
            <v>VALUATION</v>
          </cell>
          <cell r="D5" t="str">
            <v>TOTAL</v>
          </cell>
          <cell r="E5" t="str">
            <v>SCHOOL DISTRICT</v>
          </cell>
          <cell r="F5" t="str">
            <v>VALUATION</v>
          </cell>
          <cell r="G5" t="str">
            <v>VALUATION</v>
          </cell>
          <cell r="H5" t="str">
            <v>TOTAL</v>
          </cell>
          <cell r="I5" t="str">
            <v>SCHOOL DISTRICT</v>
          </cell>
          <cell r="J5" t="str">
            <v>VALUATION</v>
          </cell>
          <cell r="K5" t="str">
            <v>VALUATION</v>
          </cell>
          <cell r="L5" t="str">
            <v>TOTAL</v>
          </cell>
          <cell r="M5" t="str">
            <v>SCHOOL DISTRICT</v>
          </cell>
          <cell r="N5" t="str">
            <v>VALUATION</v>
          </cell>
          <cell r="O5" t="str">
            <v>VALUATION</v>
          </cell>
          <cell r="P5" t="str">
            <v>TOTAL</v>
          </cell>
          <cell r="Q5" t="str">
            <v>SCHOOL DISTRICT</v>
          </cell>
          <cell r="R5" t="str">
            <v>VALUATION</v>
          </cell>
          <cell r="S5" t="str">
            <v>VALUATION</v>
          </cell>
          <cell r="T5" t="str">
            <v>TOTAL</v>
          </cell>
          <cell r="U5" t="str">
            <v>SCHOOL DISTRICT</v>
          </cell>
          <cell r="V5" t="str">
            <v>VALUATION</v>
          </cell>
          <cell r="W5" t="str">
            <v>VALUATION</v>
          </cell>
          <cell r="X5" t="str">
            <v>TOTAL</v>
          </cell>
          <cell r="Y5" t="str">
            <v>SCHOOL DISTRICT</v>
          </cell>
          <cell r="Z5" t="str">
            <v>VALUATION</v>
          </cell>
          <cell r="AA5" t="str">
            <v>VALUATION</v>
          </cell>
          <cell r="AB5" t="str">
            <v>TOTAL</v>
          </cell>
          <cell r="AC5" t="str">
            <v>SCHOOL DISTRICT</v>
          </cell>
          <cell r="AD5" t="str">
            <v>VALUATION</v>
          </cell>
          <cell r="AE5" t="str">
            <v>VALUATION</v>
          </cell>
          <cell r="AF5" t="str">
            <v>TOTAL</v>
          </cell>
          <cell r="AG5" t="str">
            <v>SCHOOL DISTRICT</v>
          </cell>
          <cell r="AH5" t="str">
            <v>VALUATION</v>
          </cell>
          <cell r="AI5" t="str">
            <v>VALUATION</v>
          </cell>
          <cell r="AJ5" t="str">
            <v>TOTAL</v>
          </cell>
          <cell r="AK5" t="str">
            <v>SCHOOL DISTRICT</v>
          </cell>
          <cell r="AL5" t="str">
            <v>VALUATION</v>
          </cell>
          <cell r="AM5" t="str">
            <v>VALUATION</v>
          </cell>
          <cell r="AN5" t="str">
            <v>TOTAL</v>
          </cell>
          <cell r="AO5" t="str">
            <v>SCHOOL DISTRICT</v>
          </cell>
          <cell r="AP5" t="str">
            <v>VALUATION</v>
          </cell>
          <cell r="AQ5" t="str">
            <v>VALUATION</v>
          </cell>
          <cell r="AR5" t="str">
            <v>TOTAL</v>
          </cell>
          <cell r="AS5" t="str">
            <v>SCHOOL DISTRICT</v>
          </cell>
          <cell r="AT5" t="str">
            <v>VALUATION</v>
          </cell>
          <cell r="AU5" t="str">
            <v>VALUATION</v>
          </cell>
          <cell r="AV5" t="str">
            <v>TOTAL</v>
          </cell>
          <cell r="AW5" t="str">
            <v>SCHOOL DISTRICT</v>
          </cell>
          <cell r="AX5" t="str">
            <v>VALUATION</v>
          </cell>
          <cell r="AY5" t="str">
            <v>VALUATION</v>
          </cell>
          <cell r="AZ5" t="str">
            <v>TOTAL</v>
          </cell>
          <cell r="BA5" t="str">
            <v>SCHOOL DISTRICT</v>
          </cell>
          <cell r="BB5" t="str">
            <v>VALUATION</v>
          </cell>
          <cell r="BC5" t="str">
            <v>VALUATION</v>
          </cell>
          <cell r="BD5" t="str">
            <v>TOTAL</v>
          </cell>
          <cell r="BE5" t="str">
            <v>SCHOOL DISTRICT</v>
          </cell>
          <cell r="BF5" t="str">
            <v>VALUATION</v>
          </cell>
          <cell r="BG5" t="str">
            <v>VALUATION</v>
          </cell>
          <cell r="BH5" t="str">
            <v>TOTAL</v>
          </cell>
          <cell r="BI5" t="str">
            <v>SCHOOL DISTRICT</v>
          </cell>
          <cell r="BJ5" t="str">
            <v>VALUATION</v>
          </cell>
          <cell r="BK5" t="str">
            <v>VALUATION</v>
          </cell>
          <cell r="BL5" t="str">
            <v>TOTAL</v>
          </cell>
          <cell r="BM5" t="str">
            <v>SCHOOL DISTRICT</v>
          </cell>
          <cell r="BN5" t="str">
            <v>VALUATION</v>
          </cell>
          <cell r="BO5" t="str">
            <v>VALUATION</v>
          </cell>
          <cell r="BP5" t="str">
            <v>TOTAL</v>
          </cell>
          <cell r="BQ5" t="str">
            <v>SCHOOL DISTRICT</v>
          </cell>
          <cell r="BR5" t="str">
            <v>VALUATION</v>
          </cell>
          <cell r="BS5" t="str">
            <v>VALUATION</v>
          </cell>
          <cell r="BT5" t="str">
            <v>TOTAL</v>
          </cell>
          <cell r="BU5" t="str">
            <v>SCHOOL DISTRICT</v>
          </cell>
          <cell r="BV5" t="str">
            <v>VALUATION</v>
          </cell>
          <cell r="BW5" t="str">
            <v>VALUATION</v>
          </cell>
          <cell r="BX5" t="str">
            <v>TOTAL</v>
          </cell>
          <cell r="BY5" t="str">
            <v>SCHOOL DISTRICT</v>
          </cell>
          <cell r="BZ5" t="str">
            <v>VALUATION</v>
          </cell>
          <cell r="CA5" t="str">
            <v>VALUATION</v>
          </cell>
          <cell r="CB5" t="str">
            <v>TOTAL</v>
          </cell>
          <cell r="CC5" t="str">
            <v>SCHOOL DISTRICT</v>
          </cell>
          <cell r="CD5" t="str">
            <v>VALUATION</v>
          </cell>
          <cell r="CE5" t="str">
            <v>VALUATION</v>
          </cell>
          <cell r="CF5" t="str">
            <v>TOTAL</v>
          </cell>
          <cell r="CG5" t="str">
            <v>SCHOOL DISTRICT</v>
          </cell>
          <cell r="CH5" t="str">
            <v>VALUATION</v>
          </cell>
          <cell r="CI5" t="str">
            <v>VALUATION</v>
          </cell>
          <cell r="CJ5" t="str">
            <v>TOTAL</v>
          </cell>
          <cell r="CK5" t="str">
            <v>SCHOOL DISTRICT</v>
          </cell>
          <cell r="CL5" t="str">
            <v>VALUATION</v>
          </cell>
          <cell r="CM5" t="str">
            <v>VALUATION</v>
          </cell>
          <cell r="CN5" t="str">
            <v>TOTAL</v>
          </cell>
          <cell r="CO5" t="str">
            <v>SCHOOL DISTRICT</v>
          </cell>
          <cell r="CP5" t="str">
            <v>VALUATION</v>
          </cell>
          <cell r="CQ5" t="str">
            <v>VALUATION</v>
          </cell>
          <cell r="CR5" t="str">
            <v>TOTAL</v>
          </cell>
          <cell r="CS5" t="str">
            <v>SCHOOL DISTRICT</v>
          </cell>
          <cell r="CT5" t="str">
            <v>VALUATION</v>
          </cell>
          <cell r="CU5" t="str">
            <v>VALUATION</v>
          </cell>
          <cell r="CV5" t="str">
            <v>TOTAL</v>
          </cell>
          <cell r="CW5" t="str">
            <v>SCHOOL DISTRICT</v>
          </cell>
          <cell r="CX5" t="str">
            <v>VALUATION</v>
          </cell>
          <cell r="CY5" t="str">
            <v>VALUATION</v>
          </cell>
          <cell r="CZ5" t="str">
            <v>TOTAL</v>
          </cell>
          <cell r="DA5" t="str">
            <v>SCHOOL DISTRICT</v>
          </cell>
          <cell r="DB5" t="str">
            <v>VALUATION</v>
          </cell>
          <cell r="DC5" t="str">
            <v>VALUATION</v>
          </cell>
          <cell r="DD5" t="str">
            <v>TOTAL</v>
          </cell>
          <cell r="DE5" t="str">
            <v>SCHOOL DISTRICT</v>
          </cell>
          <cell r="DF5" t="str">
            <v>VALUATION</v>
          </cell>
          <cell r="DG5" t="str">
            <v>VALUATION</v>
          </cell>
          <cell r="DH5" t="str">
            <v>TOTAL</v>
          </cell>
          <cell r="DI5" t="str">
            <v>SCHOOL DISTRICT</v>
          </cell>
          <cell r="DJ5" t="str">
            <v>VALUATION</v>
          </cell>
          <cell r="DK5" t="str">
            <v>VALUATION</v>
          </cell>
          <cell r="DL5" t="str">
            <v>TOTAL</v>
          </cell>
          <cell r="DM5" t="str">
            <v>SCHOOL DISTRICT</v>
          </cell>
          <cell r="DN5" t="str">
            <v>VALUATION</v>
          </cell>
          <cell r="DO5" t="str">
            <v>VALUATION</v>
          </cell>
          <cell r="DP5" t="str">
            <v>TOTAL</v>
          </cell>
          <cell r="DQ5" t="str">
            <v>SCHOOL DISTRICT</v>
          </cell>
          <cell r="DR5" t="str">
            <v>VALUATION</v>
          </cell>
          <cell r="DS5" t="str">
            <v>VALUATION</v>
          </cell>
          <cell r="DT5" t="str">
            <v>TOTAL</v>
          </cell>
          <cell r="DU5" t="str">
            <v>SCHOOL DISTRICT</v>
          </cell>
          <cell r="DV5" t="str">
            <v>VALUATION</v>
          </cell>
          <cell r="DW5" t="str">
            <v>VALUATION</v>
          </cell>
          <cell r="DX5" t="str">
            <v>TOTAL</v>
          </cell>
          <cell r="DY5" t="str">
            <v>SCHOOL DISTRICT</v>
          </cell>
          <cell r="DZ5" t="str">
            <v>VALUATION</v>
          </cell>
          <cell r="EA5" t="str">
            <v>VALUATION</v>
          </cell>
          <cell r="EB5" t="str">
            <v>TOTAL</v>
          </cell>
        </row>
        <row r="6">
          <cell r="A6" t="str">
            <v>=</v>
          </cell>
          <cell r="B6" t="str">
            <v>=========</v>
          </cell>
          <cell r="C6" t="str">
            <v>=========</v>
          </cell>
          <cell r="D6" t="str">
            <v>=====</v>
          </cell>
          <cell r="E6" t="str">
            <v>===============</v>
          </cell>
          <cell r="F6" t="str">
            <v>=========</v>
          </cell>
          <cell r="G6" t="str">
            <v>=========</v>
          </cell>
          <cell r="H6" t="str">
            <v>=====</v>
          </cell>
          <cell r="I6" t="str">
            <v>===============</v>
          </cell>
          <cell r="J6" t="str">
            <v>=========</v>
          </cell>
          <cell r="K6" t="str">
            <v>=========</v>
          </cell>
          <cell r="L6" t="str">
            <v>=====</v>
          </cell>
          <cell r="M6" t="str">
            <v>===============</v>
          </cell>
          <cell r="N6" t="str">
            <v>=========</v>
          </cell>
          <cell r="O6" t="str">
            <v>=========</v>
          </cell>
          <cell r="P6" t="str">
            <v>=====</v>
          </cell>
          <cell r="Q6" t="str">
            <v>===============</v>
          </cell>
          <cell r="R6" t="str">
            <v>=========</v>
          </cell>
          <cell r="S6" t="str">
            <v>=========</v>
          </cell>
          <cell r="T6" t="str">
            <v>=====</v>
          </cell>
          <cell r="U6" t="str">
            <v>===============</v>
          </cell>
          <cell r="V6" t="str">
            <v>=========</v>
          </cell>
          <cell r="W6" t="str">
            <v>=========</v>
          </cell>
          <cell r="X6" t="str">
            <v>=====</v>
          </cell>
          <cell r="Y6" t="str">
            <v>===============</v>
          </cell>
          <cell r="Z6" t="str">
            <v>=========</v>
          </cell>
          <cell r="AA6" t="str">
            <v>=========</v>
          </cell>
          <cell r="AB6" t="str">
            <v>=====</v>
          </cell>
          <cell r="AC6" t="str">
            <v>===============</v>
          </cell>
          <cell r="AD6" t="str">
            <v>=========</v>
          </cell>
          <cell r="AE6" t="str">
            <v>=========</v>
          </cell>
          <cell r="AF6" t="str">
            <v>=====</v>
          </cell>
          <cell r="AG6" t="str">
            <v>===============</v>
          </cell>
          <cell r="AH6" t="str">
            <v>=========</v>
          </cell>
          <cell r="AI6" t="str">
            <v>=========</v>
          </cell>
          <cell r="AJ6" t="str">
            <v>=====</v>
          </cell>
          <cell r="AK6" t="str">
            <v>===============</v>
          </cell>
          <cell r="AL6" t="str">
            <v>=========</v>
          </cell>
          <cell r="AM6" t="str">
            <v>=========</v>
          </cell>
          <cell r="AN6" t="str">
            <v>=====</v>
          </cell>
          <cell r="AO6" t="str">
            <v>===============</v>
          </cell>
          <cell r="AP6" t="str">
            <v>=========</v>
          </cell>
          <cell r="AQ6" t="str">
            <v>=========</v>
          </cell>
          <cell r="AR6" t="str">
            <v>=====</v>
          </cell>
          <cell r="AS6" t="str">
            <v>===============</v>
          </cell>
          <cell r="AT6" t="str">
            <v>=========</v>
          </cell>
          <cell r="AU6" t="str">
            <v>=========</v>
          </cell>
          <cell r="AV6" t="str">
            <v>=====</v>
          </cell>
          <cell r="AW6" t="str">
            <v>===============</v>
          </cell>
          <cell r="AX6" t="str">
            <v>=========</v>
          </cell>
          <cell r="AY6" t="str">
            <v>=========</v>
          </cell>
          <cell r="AZ6" t="str">
            <v>=====</v>
          </cell>
          <cell r="BA6" t="str">
            <v>===============</v>
          </cell>
          <cell r="BB6" t="str">
            <v>=========</v>
          </cell>
          <cell r="BC6" t="str">
            <v>=========</v>
          </cell>
          <cell r="BD6" t="str">
            <v>=====</v>
          </cell>
          <cell r="BE6" t="str">
            <v>===============</v>
          </cell>
          <cell r="BF6" t="str">
            <v>=========</v>
          </cell>
          <cell r="BG6" t="str">
            <v>=========</v>
          </cell>
          <cell r="BH6" t="str">
            <v>=====</v>
          </cell>
          <cell r="BI6" t="str">
            <v>===============</v>
          </cell>
          <cell r="BJ6" t="str">
            <v>=========</v>
          </cell>
          <cell r="BK6" t="str">
            <v>=========</v>
          </cell>
          <cell r="BL6" t="str">
            <v>=====</v>
          </cell>
          <cell r="BM6" t="str">
            <v>===============</v>
          </cell>
          <cell r="BN6" t="str">
            <v>=========</v>
          </cell>
          <cell r="BO6" t="str">
            <v>=========</v>
          </cell>
          <cell r="BP6" t="str">
            <v>=====</v>
          </cell>
          <cell r="BQ6" t="str">
            <v>===============</v>
          </cell>
          <cell r="BR6" t="str">
            <v>=========</v>
          </cell>
          <cell r="BS6" t="str">
            <v>=========</v>
          </cell>
          <cell r="BT6" t="str">
            <v>=====</v>
          </cell>
          <cell r="BU6" t="str">
            <v>===============</v>
          </cell>
          <cell r="BV6" t="str">
            <v>=========</v>
          </cell>
          <cell r="BW6" t="str">
            <v>=========</v>
          </cell>
          <cell r="BX6" t="str">
            <v>=====</v>
          </cell>
          <cell r="BY6" t="str">
            <v>===============</v>
          </cell>
          <cell r="BZ6" t="str">
            <v>=========</v>
          </cell>
          <cell r="CA6" t="str">
            <v>=========</v>
          </cell>
          <cell r="CB6" t="str">
            <v>=====</v>
          </cell>
          <cell r="CC6" t="str">
            <v>===============</v>
          </cell>
          <cell r="CD6" t="str">
            <v>=========</v>
          </cell>
          <cell r="CE6" t="str">
            <v>=========</v>
          </cell>
          <cell r="CF6" t="str">
            <v>=====</v>
          </cell>
          <cell r="CG6" t="str">
            <v>===============</v>
          </cell>
          <cell r="CH6" t="str">
            <v>=========</v>
          </cell>
          <cell r="CI6" t="str">
            <v>=========</v>
          </cell>
          <cell r="CJ6" t="str">
            <v>=====</v>
          </cell>
          <cell r="CK6" t="str">
            <v>===============</v>
          </cell>
          <cell r="CL6" t="str">
            <v>=========</v>
          </cell>
          <cell r="CM6" t="str">
            <v>=========</v>
          </cell>
          <cell r="CN6" t="str">
            <v>=====</v>
          </cell>
          <cell r="CO6" t="str">
            <v>===============</v>
          </cell>
          <cell r="CP6" t="str">
            <v>=========</v>
          </cell>
          <cell r="CQ6" t="str">
            <v>=========</v>
          </cell>
          <cell r="CR6" t="str">
            <v>=====</v>
          </cell>
          <cell r="CS6" t="str">
            <v>===============</v>
          </cell>
          <cell r="CT6" t="str">
            <v>=========</v>
          </cell>
          <cell r="CU6" t="str">
            <v>=========</v>
          </cell>
          <cell r="CV6" t="str">
            <v>=====</v>
          </cell>
          <cell r="CW6" t="str">
            <v>===============</v>
          </cell>
          <cell r="CX6" t="str">
            <v>=========</v>
          </cell>
          <cell r="CY6" t="str">
            <v>=========</v>
          </cell>
          <cell r="CZ6" t="str">
            <v>=====</v>
          </cell>
          <cell r="DA6" t="str">
            <v>===============</v>
          </cell>
          <cell r="DB6" t="str">
            <v>=========</v>
          </cell>
          <cell r="DC6" t="str">
            <v>=========</v>
          </cell>
          <cell r="DD6" t="str">
            <v>=====</v>
          </cell>
          <cell r="DE6" t="str">
            <v>===============</v>
          </cell>
          <cell r="DF6" t="str">
            <v>=========</v>
          </cell>
          <cell r="DG6" t="str">
            <v>=========</v>
          </cell>
          <cell r="DH6" t="str">
            <v>=====</v>
          </cell>
          <cell r="DI6" t="str">
            <v>===============</v>
          </cell>
          <cell r="DJ6" t="str">
            <v>=========</v>
          </cell>
          <cell r="DK6" t="str">
            <v>=========</v>
          </cell>
          <cell r="DL6" t="str">
            <v>=====</v>
          </cell>
          <cell r="DM6" t="str">
            <v>===============</v>
          </cell>
          <cell r="DN6" t="str">
            <v>=========</v>
          </cell>
          <cell r="DO6" t="str">
            <v>=========</v>
          </cell>
          <cell r="DP6" t="str">
            <v>=====</v>
          </cell>
          <cell r="DQ6" t="str">
            <v>===============</v>
          </cell>
          <cell r="DR6" t="str">
            <v>=========</v>
          </cell>
          <cell r="DS6" t="str">
            <v>=========</v>
          </cell>
          <cell r="DT6" t="str">
            <v>=====</v>
          </cell>
          <cell r="DU6" t="str">
            <v>===============</v>
          </cell>
          <cell r="DV6" t="str">
            <v>=========</v>
          </cell>
          <cell r="DW6" t="str">
            <v>=========</v>
          </cell>
          <cell r="DX6" t="str">
            <v>=====</v>
          </cell>
          <cell r="DY6" t="str">
            <v>===============</v>
          </cell>
          <cell r="DZ6" t="str">
            <v>=========</v>
          </cell>
          <cell r="EA6" t="str">
            <v>=========</v>
          </cell>
          <cell r="EB6" t="str">
            <v>=====</v>
          </cell>
          <cell r="ED6" t="str">
            <v>BERNALILLO</v>
          </cell>
          <cell r="EE6">
            <v>479076818</v>
          </cell>
          <cell r="EF6">
            <v>13497015187</v>
          </cell>
        </row>
        <row r="7">
          <cell r="ED7" t="str">
            <v>CATRON</v>
          </cell>
          <cell r="EE7">
            <v>17849048</v>
          </cell>
          <cell r="EF7">
            <v>90841105</v>
          </cell>
        </row>
        <row r="8">
          <cell r="A8" t="str">
            <v>12-IN NON-RES</v>
          </cell>
          <cell r="B8">
            <v>374068647</v>
          </cell>
          <cell r="C8">
            <v>2977556838</v>
          </cell>
          <cell r="D8">
            <v>3351625485</v>
          </cell>
          <cell r="E8" t="str">
            <v>1-IN NON-RES</v>
          </cell>
          <cell r="F8">
            <v>1297973</v>
          </cell>
          <cell r="G8">
            <v>1768533</v>
          </cell>
          <cell r="H8">
            <v>3066506</v>
          </cell>
          <cell r="I8" t="str">
            <v>1-IN NON-RES</v>
          </cell>
          <cell r="J8">
            <v>20202879</v>
          </cell>
          <cell r="K8">
            <v>188839287</v>
          </cell>
          <cell r="L8">
            <v>209042166</v>
          </cell>
          <cell r="M8" t="str">
            <v>3-IN NON-RES</v>
          </cell>
          <cell r="N8">
            <v>7071474</v>
          </cell>
          <cell r="O8">
            <v>47586917</v>
          </cell>
          <cell r="P8">
            <v>54658391</v>
          </cell>
          <cell r="Q8" t="str">
            <v>3-IN NON-RES</v>
          </cell>
          <cell r="R8">
            <v>646293</v>
          </cell>
          <cell r="S8">
            <v>2206992</v>
          </cell>
          <cell r="T8">
            <v>2853285</v>
          </cell>
          <cell r="U8" t="str">
            <v>1-IN NON-RES</v>
          </cell>
          <cell r="V8">
            <v>24511607</v>
          </cell>
          <cell r="W8">
            <v>95974405</v>
          </cell>
          <cell r="X8">
            <v>120486012</v>
          </cell>
          <cell r="Y8" t="str">
            <v>20-IN NON-RES</v>
          </cell>
          <cell r="Z8">
            <v>1204369</v>
          </cell>
          <cell r="AA8">
            <v>2132878</v>
          </cell>
          <cell r="AB8">
            <v>3337247</v>
          </cell>
          <cell r="AC8" t="str">
            <v>2-IN NON-RES</v>
          </cell>
          <cell r="AD8">
            <v>48821813</v>
          </cell>
          <cell r="AE8">
            <v>584773824</v>
          </cell>
          <cell r="AF8">
            <v>633595637</v>
          </cell>
          <cell r="AG8" t="str">
            <v>C-IN NON-RES</v>
          </cell>
          <cell r="AH8">
            <v>15582495</v>
          </cell>
          <cell r="AI8">
            <v>96785823</v>
          </cell>
          <cell r="AJ8">
            <v>112368318</v>
          </cell>
          <cell r="AK8" t="str">
            <v>1-IN NON-RES</v>
          </cell>
          <cell r="AL8">
            <v>7474833</v>
          </cell>
          <cell r="AM8">
            <v>62566210</v>
          </cell>
          <cell r="AN8">
            <v>70041043</v>
          </cell>
          <cell r="AO8" t="str">
            <v>8-IN NON-RES</v>
          </cell>
          <cell r="AP8">
            <v>3290677</v>
          </cell>
          <cell r="AQ8">
            <v>24697681</v>
          </cell>
          <cell r="AR8">
            <v>27988358</v>
          </cell>
          <cell r="AS8" t="str">
            <v>3-IN NON-RES</v>
          </cell>
          <cell r="AT8">
            <v>148901</v>
          </cell>
          <cell r="AU8">
            <v>481738</v>
          </cell>
          <cell r="AV8">
            <v>630639</v>
          </cell>
          <cell r="AW8" t="str">
            <v>1-IN NON-RES</v>
          </cell>
          <cell r="AX8">
            <v>5112583</v>
          </cell>
          <cell r="AY8">
            <v>17041022</v>
          </cell>
          <cell r="AZ8">
            <v>22153605</v>
          </cell>
          <cell r="BA8" t="str">
            <v>1-IN NON-RES</v>
          </cell>
          <cell r="BB8">
            <v>4893608</v>
          </cell>
          <cell r="BC8">
            <v>12094640</v>
          </cell>
          <cell r="BD8">
            <v>16988248</v>
          </cell>
          <cell r="BE8" t="str">
            <v>3-IN NON-RES</v>
          </cell>
          <cell r="BF8">
            <v>7441156</v>
          </cell>
          <cell r="BG8">
            <v>75737697</v>
          </cell>
          <cell r="BH8">
            <v>83178853</v>
          </cell>
          <cell r="BI8" t="str">
            <v>1  NON-RES</v>
          </cell>
          <cell r="BJ8">
            <v>8046650</v>
          </cell>
          <cell r="BK8">
            <v>95550310</v>
          </cell>
          <cell r="BL8">
            <v>103596960</v>
          </cell>
          <cell r="BM8" t="str">
            <v>1-IN NON-RES</v>
          </cell>
          <cell r="BN8">
            <v>47223018</v>
          </cell>
          <cell r="BO8">
            <v>57306233</v>
          </cell>
          <cell r="BP8">
            <v>104529251</v>
          </cell>
          <cell r="BQ8" t="str">
            <v>1-IN NON-RES</v>
          </cell>
          <cell r="BR8">
            <v>7832793</v>
          </cell>
          <cell r="BS8">
            <v>147501760</v>
          </cell>
          <cell r="BT8">
            <v>155334553</v>
          </cell>
          <cell r="BU8" t="str">
            <v>1 NON-RES</v>
          </cell>
          <cell r="BV8">
            <v>3217831</v>
          </cell>
          <cell r="BW8">
            <v>18017777</v>
          </cell>
          <cell r="BX8">
            <v>21235608</v>
          </cell>
          <cell r="BY8" t="str">
            <v>1-IN NON-RES</v>
          </cell>
          <cell r="BZ8">
            <v>12107531</v>
          </cell>
          <cell r="CA8">
            <v>107020762</v>
          </cell>
          <cell r="CB8">
            <v>119128293</v>
          </cell>
          <cell r="CC8" t="str">
            <v>1-IN NON-RES</v>
          </cell>
          <cell r="CD8">
            <v>3835779</v>
          </cell>
          <cell r="CE8">
            <v>19605489</v>
          </cell>
          <cell r="CF8">
            <v>23441268</v>
          </cell>
          <cell r="CG8" t="str">
            <v>19-IN NON-RES</v>
          </cell>
          <cell r="CH8">
            <v>897850</v>
          </cell>
          <cell r="CI8">
            <v>8314103</v>
          </cell>
          <cell r="CJ8">
            <v>9211953</v>
          </cell>
          <cell r="CK8" t="str">
            <v>1-IN NON-RES</v>
          </cell>
          <cell r="CL8">
            <v>6560930</v>
          </cell>
          <cell r="CM8">
            <v>23548493</v>
          </cell>
          <cell r="CN8">
            <v>30109423</v>
          </cell>
          <cell r="CO8" t="str">
            <v>1-IN NON-RES</v>
          </cell>
          <cell r="CP8">
            <v>10925882</v>
          </cell>
          <cell r="CQ8">
            <v>57628935</v>
          </cell>
          <cell r="CR8">
            <v>68554817</v>
          </cell>
          <cell r="CS8" t="str">
            <v>2-IN NON-RES</v>
          </cell>
          <cell r="CT8">
            <v>3290642</v>
          </cell>
          <cell r="CU8">
            <v>21670350</v>
          </cell>
          <cell r="CV8">
            <v>24960992</v>
          </cell>
          <cell r="CW8" t="str">
            <v>1-IN NON-RES</v>
          </cell>
          <cell r="CX8">
            <v>1430952</v>
          </cell>
          <cell r="CY8">
            <v>13206505</v>
          </cell>
          <cell r="CZ8">
            <v>14637457</v>
          </cell>
          <cell r="DA8" t="str">
            <v>C-IN NON-RES</v>
          </cell>
          <cell r="DB8">
            <v>51777253</v>
          </cell>
          <cell r="DC8">
            <v>1009948400</v>
          </cell>
          <cell r="DD8">
            <v>1061725653</v>
          </cell>
          <cell r="DE8" t="str">
            <v>6-IN NON-RES</v>
          </cell>
          <cell r="DF8">
            <v>2281127</v>
          </cell>
          <cell r="DG8">
            <v>29793293</v>
          </cell>
          <cell r="DH8">
            <v>32074420</v>
          </cell>
          <cell r="DI8" t="str">
            <v>1-IN NON-RES</v>
          </cell>
          <cell r="DJ8">
            <v>3765372</v>
          </cell>
          <cell r="DK8">
            <v>28387526</v>
          </cell>
          <cell r="DL8">
            <v>32152898</v>
          </cell>
          <cell r="DM8" t="str">
            <v>1-IN NON-RES</v>
          </cell>
          <cell r="DN8">
            <v>8316205</v>
          </cell>
          <cell r="DO8">
            <v>139524584</v>
          </cell>
          <cell r="DP8">
            <v>147840789</v>
          </cell>
          <cell r="DQ8" t="str">
            <v>7-IN NON-RES</v>
          </cell>
          <cell r="DR8">
            <v>667040</v>
          </cell>
          <cell r="DS8">
            <v>13483698</v>
          </cell>
          <cell r="DT8">
            <v>14150738</v>
          </cell>
          <cell r="DU8" t="str">
            <v>1-IN NON-RES</v>
          </cell>
          <cell r="DV8">
            <v>1991560</v>
          </cell>
          <cell r="DW8">
            <v>7726092</v>
          </cell>
          <cell r="DX8">
            <v>9717652</v>
          </cell>
          <cell r="DY8" t="str">
            <v>1-IN NON-RES</v>
          </cell>
          <cell r="DZ8">
            <v>8361871</v>
          </cell>
          <cell r="EA8">
            <v>72311984</v>
          </cell>
          <cell r="EB8">
            <v>80673855</v>
          </cell>
          <cell r="ED8" t="str">
            <v>CHAVES</v>
          </cell>
          <cell r="EE8">
            <v>111517485</v>
          </cell>
          <cell r="EF8">
            <v>757066572</v>
          </cell>
        </row>
        <row r="9">
          <cell r="A9" t="str">
            <v>12-IN RESIDENTIAL</v>
          </cell>
          <cell r="C9">
            <v>8229386337</v>
          </cell>
          <cell r="D9">
            <v>8229386337</v>
          </cell>
          <cell r="E9" t="str">
            <v>1-IN RESIDENTIAL</v>
          </cell>
          <cell r="G9">
            <v>2214908</v>
          </cell>
          <cell r="H9">
            <v>2214908</v>
          </cell>
          <cell r="I9" t="str">
            <v>1-IN RESIDENTIAL</v>
          </cell>
          <cell r="K9">
            <v>344093126</v>
          </cell>
          <cell r="L9">
            <v>344093126</v>
          </cell>
          <cell r="M9" t="str">
            <v>3-IN RESIDENTIAL</v>
          </cell>
          <cell r="O9">
            <v>47532394</v>
          </cell>
          <cell r="P9">
            <v>47532394</v>
          </cell>
          <cell r="Q9" t="str">
            <v>3-IN RESIDENTIAL</v>
          </cell>
          <cell r="R9">
            <v>0</v>
          </cell>
          <cell r="S9">
            <v>7823502</v>
          </cell>
          <cell r="T9">
            <v>7823502</v>
          </cell>
          <cell r="U9" t="str">
            <v>1-IN RESIDENTIAL</v>
          </cell>
          <cell r="W9">
            <v>277607110</v>
          </cell>
          <cell r="X9">
            <v>277607110</v>
          </cell>
          <cell r="Y9" t="str">
            <v>20-IN RESIDENTIAL</v>
          </cell>
          <cell r="AA9">
            <v>4455499</v>
          </cell>
          <cell r="AB9">
            <v>4455499</v>
          </cell>
          <cell r="AC9" t="str">
            <v>2-IN RESIDENTIAL</v>
          </cell>
          <cell r="AE9">
            <v>1236578849</v>
          </cell>
          <cell r="AF9">
            <v>1236578849</v>
          </cell>
          <cell r="AG9" t="str">
            <v>C-IN RESIDENTIAL</v>
          </cell>
          <cell r="AI9">
            <v>187825636</v>
          </cell>
          <cell r="AJ9">
            <v>187825636</v>
          </cell>
          <cell r="AK9" t="str">
            <v>1-IN RESIDENTIAL</v>
          </cell>
          <cell r="AM9">
            <v>110156616</v>
          </cell>
          <cell r="AN9">
            <v>110156616</v>
          </cell>
          <cell r="AO9" t="str">
            <v>8-IN RESIDENTIAL</v>
          </cell>
          <cell r="AP9">
            <v>0</v>
          </cell>
          <cell r="AQ9">
            <v>12749515</v>
          </cell>
          <cell r="AR9">
            <v>12749515</v>
          </cell>
          <cell r="AS9" t="str">
            <v>3-IN RESIDENTIAL</v>
          </cell>
          <cell r="AT9">
            <v>0</v>
          </cell>
          <cell r="AU9">
            <v>1047204</v>
          </cell>
          <cell r="AV9">
            <v>1047204</v>
          </cell>
          <cell r="AW9" t="str">
            <v>1-IN RESIDENTIAL</v>
          </cell>
          <cell r="AY9">
            <v>8723141</v>
          </cell>
          <cell r="AZ9">
            <v>8723141</v>
          </cell>
          <cell r="BA9" t="str">
            <v>1-IN RESIDENTIAL</v>
          </cell>
          <cell r="BB9">
            <v>0</v>
          </cell>
          <cell r="BC9">
            <v>39544340</v>
          </cell>
          <cell r="BD9">
            <v>39544340</v>
          </cell>
          <cell r="BE9" t="str">
            <v>3-IN RESIDENTIAL</v>
          </cell>
          <cell r="BF9">
            <v>0</v>
          </cell>
          <cell r="BG9">
            <v>310651511</v>
          </cell>
          <cell r="BH9">
            <v>310651511</v>
          </cell>
          <cell r="BI9" t="str">
            <v>1  RESIDENTIAL</v>
          </cell>
          <cell r="BJ9">
            <v>0</v>
          </cell>
          <cell r="BK9">
            <v>632261630</v>
          </cell>
          <cell r="BL9">
            <v>632261630</v>
          </cell>
          <cell r="BM9" t="str">
            <v>1-IN RESIDENTIAL</v>
          </cell>
          <cell r="BO9">
            <v>110194125</v>
          </cell>
          <cell r="BP9">
            <v>110194125</v>
          </cell>
          <cell r="BQ9" t="str">
            <v>1-IN RESIDENTIAL</v>
          </cell>
          <cell r="BS9">
            <v>187734130</v>
          </cell>
          <cell r="BT9">
            <v>187734130</v>
          </cell>
          <cell r="BU9" t="str">
            <v>1 RESIDENTIAL</v>
          </cell>
          <cell r="BW9">
            <v>41034994</v>
          </cell>
          <cell r="BX9">
            <v>41034994</v>
          </cell>
          <cell r="BY9" t="str">
            <v>1-IN RESIDENTIAL</v>
          </cell>
          <cell r="BZ9">
            <v>0</v>
          </cell>
          <cell r="CA9">
            <v>301333464</v>
          </cell>
          <cell r="CB9">
            <v>301333464</v>
          </cell>
          <cell r="CC9" t="str">
            <v>1-IN RESIDENTIAL</v>
          </cell>
          <cell r="CE9">
            <v>22763493</v>
          </cell>
          <cell r="CF9">
            <v>22763493</v>
          </cell>
          <cell r="CG9" t="str">
            <v>19-IN RESIDENTIAL</v>
          </cell>
          <cell r="CI9">
            <v>11700571</v>
          </cell>
          <cell r="CJ9">
            <v>11700571</v>
          </cell>
          <cell r="CK9" t="str">
            <v>1-IN RESIDENTIAL</v>
          </cell>
          <cell r="CM9">
            <v>68939382</v>
          </cell>
          <cell r="CN9">
            <v>68939382</v>
          </cell>
          <cell r="CO9" t="str">
            <v>1-IN RESIDENTIAL</v>
          </cell>
          <cell r="CQ9">
            <v>92655969</v>
          </cell>
          <cell r="CR9">
            <v>92655969</v>
          </cell>
          <cell r="CS9" t="str">
            <v>2-IN RESIDENTIAL</v>
          </cell>
          <cell r="CU9">
            <v>59578801</v>
          </cell>
          <cell r="CV9">
            <v>59578801</v>
          </cell>
          <cell r="CW9" t="str">
            <v>1-IN RESIDENTIAL</v>
          </cell>
          <cell r="CX9">
            <v>0</v>
          </cell>
          <cell r="CY9">
            <v>30530194</v>
          </cell>
          <cell r="CZ9">
            <v>30530194</v>
          </cell>
          <cell r="DA9" t="str">
            <v>C-IN RESIDENTIAL</v>
          </cell>
          <cell r="DB9">
            <v>0</v>
          </cell>
          <cell r="DC9">
            <v>2441050539</v>
          </cell>
          <cell r="DD9">
            <v>2441050539</v>
          </cell>
          <cell r="DE9" t="str">
            <v>6-IN RESIDENTIAL</v>
          </cell>
          <cell r="DG9">
            <v>49919782</v>
          </cell>
          <cell r="DH9">
            <v>49919782</v>
          </cell>
          <cell r="DI9" t="str">
            <v>1-IN RESIDENTIAL</v>
          </cell>
          <cell r="DK9">
            <v>61774272</v>
          </cell>
          <cell r="DL9">
            <v>61774272</v>
          </cell>
          <cell r="DM9" t="str">
            <v>1-IN RESIDENTIAL</v>
          </cell>
          <cell r="DO9">
            <v>135992234</v>
          </cell>
          <cell r="DP9">
            <v>135992234</v>
          </cell>
          <cell r="DQ9" t="str">
            <v>7-IN RESIDENTIAL</v>
          </cell>
          <cell r="DR9">
            <v>0</v>
          </cell>
          <cell r="DS9">
            <v>5262358</v>
          </cell>
          <cell r="DT9">
            <v>5262358</v>
          </cell>
          <cell r="DU9" t="str">
            <v>1-IN RESIDENTIAL</v>
          </cell>
          <cell r="DV9">
            <v>0</v>
          </cell>
          <cell r="DW9">
            <v>13950010</v>
          </cell>
          <cell r="DX9">
            <v>13950010</v>
          </cell>
          <cell r="DY9" t="str">
            <v>1-IN RESIDENTIAL</v>
          </cell>
          <cell r="EA9">
            <v>197899093</v>
          </cell>
          <cell r="EB9">
            <v>197899093</v>
          </cell>
          <cell r="ED9" t="str">
            <v>CIBOLA</v>
          </cell>
          <cell r="EE9">
            <v>47370224</v>
          </cell>
          <cell r="EF9">
            <v>205618699</v>
          </cell>
        </row>
        <row r="10">
          <cell r="A10" t="str">
            <v>TOTAL</v>
          </cell>
          <cell r="B10">
            <v>374068647</v>
          </cell>
          <cell r="C10">
            <v>11206943175</v>
          </cell>
          <cell r="D10">
            <v>11581011822</v>
          </cell>
          <cell r="E10" t="str">
            <v>TOTAL</v>
          </cell>
          <cell r="F10">
            <v>1297973</v>
          </cell>
          <cell r="G10">
            <v>3983441</v>
          </cell>
          <cell r="H10">
            <v>5281414</v>
          </cell>
          <cell r="I10" t="str">
            <v>TOTAL</v>
          </cell>
          <cell r="J10">
            <v>20202879</v>
          </cell>
          <cell r="K10">
            <v>532932413</v>
          </cell>
          <cell r="L10">
            <v>553135292</v>
          </cell>
          <cell r="M10" t="str">
            <v>TOTAL</v>
          </cell>
          <cell r="N10">
            <v>7071474</v>
          </cell>
          <cell r="O10">
            <v>95119311</v>
          </cell>
          <cell r="P10">
            <v>102190785</v>
          </cell>
          <cell r="Q10" t="str">
            <v>TOTAL</v>
          </cell>
          <cell r="R10">
            <v>646293</v>
          </cell>
          <cell r="S10">
            <v>10030494</v>
          </cell>
          <cell r="T10">
            <v>10676787</v>
          </cell>
          <cell r="U10" t="str">
            <v>TOTAL</v>
          </cell>
          <cell r="V10">
            <v>24511607</v>
          </cell>
          <cell r="W10">
            <v>373581515</v>
          </cell>
          <cell r="X10">
            <v>398093122</v>
          </cell>
          <cell r="Y10" t="str">
            <v>TOTAL</v>
          </cell>
          <cell r="Z10">
            <v>1204369</v>
          </cell>
          <cell r="AA10">
            <v>6588377</v>
          </cell>
          <cell r="AB10">
            <v>7792746</v>
          </cell>
          <cell r="AC10" t="str">
            <v>TOTAL</v>
          </cell>
          <cell r="AD10">
            <v>48821813</v>
          </cell>
          <cell r="AE10">
            <v>1821352673</v>
          </cell>
          <cell r="AF10">
            <v>1870174486</v>
          </cell>
          <cell r="AG10" t="str">
            <v>TOTAL</v>
          </cell>
          <cell r="AH10">
            <v>15582495</v>
          </cell>
          <cell r="AI10">
            <v>284611459</v>
          </cell>
          <cell r="AJ10">
            <v>300193954</v>
          </cell>
          <cell r="AK10" t="str">
            <v>TOTAL</v>
          </cell>
          <cell r="AL10">
            <v>7474833</v>
          </cell>
          <cell r="AM10">
            <v>172722826</v>
          </cell>
          <cell r="AN10">
            <v>180197659</v>
          </cell>
          <cell r="AO10" t="str">
            <v>TOTAL</v>
          </cell>
          <cell r="AP10">
            <v>3290677</v>
          </cell>
          <cell r="AQ10">
            <v>37447196</v>
          </cell>
          <cell r="AR10">
            <v>40737873</v>
          </cell>
          <cell r="AS10" t="str">
            <v>TOTAL</v>
          </cell>
          <cell r="AT10">
            <v>148901</v>
          </cell>
          <cell r="AU10">
            <v>1528942</v>
          </cell>
          <cell r="AV10">
            <v>1677843</v>
          </cell>
          <cell r="AW10" t="str">
            <v>TOTAL</v>
          </cell>
          <cell r="AX10">
            <v>5112583</v>
          </cell>
          <cell r="AY10">
            <v>25764163</v>
          </cell>
          <cell r="AZ10">
            <v>30876746</v>
          </cell>
          <cell r="BA10" t="str">
            <v>TOTAL</v>
          </cell>
          <cell r="BB10">
            <v>4893608</v>
          </cell>
          <cell r="BC10">
            <v>51638980</v>
          </cell>
          <cell r="BD10">
            <v>56532588</v>
          </cell>
          <cell r="BE10" t="str">
            <v>TOTAL</v>
          </cell>
          <cell r="BF10">
            <v>7441156</v>
          </cell>
          <cell r="BG10">
            <v>386389208</v>
          </cell>
          <cell r="BH10">
            <v>393830364</v>
          </cell>
          <cell r="BI10" t="str">
            <v>TOTAL</v>
          </cell>
          <cell r="BJ10">
            <v>8046650</v>
          </cell>
          <cell r="BK10">
            <v>727811940</v>
          </cell>
          <cell r="BL10">
            <v>735858590</v>
          </cell>
          <cell r="BM10" t="str">
            <v>TOTAL</v>
          </cell>
          <cell r="BN10">
            <v>47223018</v>
          </cell>
          <cell r="BO10">
            <v>167500358</v>
          </cell>
          <cell r="BP10">
            <v>214723376</v>
          </cell>
          <cell r="BQ10" t="str">
            <v>TOTAL</v>
          </cell>
          <cell r="BR10">
            <v>7832793</v>
          </cell>
          <cell r="BS10">
            <v>335235890</v>
          </cell>
          <cell r="BT10">
            <v>343068683</v>
          </cell>
          <cell r="BU10" t="str">
            <v>TOTAL</v>
          </cell>
          <cell r="BV10">
            <v>3217831</v>
          </cell>
          <cell r="BW10">
            <v>59052771</v>
          </cell>
          <cell r="BX10">
            <v>62270602</v>
          </cell>
          <cell r="BY10" t="str">
            <v>TOTAL</v>
          </cell>
          <cell r="BZ10">
            <v>12107531</v>
          </cell>
          <cell r="CA10">
            <v>408354226</v>
          </cell>
          <cell r="CB10">
            <v>420461757</v>
          </cell>
          <cell r="CC10" t="str">
            <v>TOTAL</v>
          </cell>
          <cell r="CD10">
            <v>3835779</v>
          </cell>
          <cell r="CE10">
            <v>42368982</v>
          </cell>
          <cell r="CF10">
            <v>46204761</v>
          </cell>
          <cell r="CG10" t="str">
            <v>TOTAL</v>
          </cell>
          <cell r="CH10">
            <v>897850</v>
          </cell>
          <cell r="CI10">
            <v>20014674</v>
          </cell>
          <cell r="CJ10">
            <v>20912524</v>
          </cell>
          <cell r="CK10" t="str">
            <v>TOTAL</v>
          </cell>
          <cell r="CL10">
            <v>6560930</v>
          </cell>
          <cell r="CM10">
            <v>92487875</v>
          </cell>
          <cell r="CN10">
            <v>99048805</v>
          </cell>
          <cell r="CO10" t="str">
            <v>TOTAL</v>
          </cell>
          <cell r="CP10">
            <v>10925882</v>
          </cell>
          <cell r="CQ10">
            <v>150284904</v>
          </cell>
          <cell r="CR10">
            <v>161210786</v>
          </cell>
          <cell r="CS10" t="str">
            <v>TOTAL</v>
          </cell>
          <cell r="CT10">
            <v>3290642</v>
          </cell>
          <cell r="CU10">
            <v>81249151</v>
          </cell>
          <cell r="CV10">
            <v>84539793</v>
          </cell>
          <cell r="CW10" t="str">
            <v>TOTAL</v>
          </cell>
          <cell r="CX10">
            <v>1430952</v>
          </cell>
          <cell r="CY10">
            <v>43736699</v>
          </cell>
          <cell r="CZ10">
            <v>45167651</v>
          </cell>
          <cell r="DA10" t="str">
            <v>TOTAL</v>
          </cell>
          <cell r="DB10">
            <v>51777253</v>
          </cell>
          <cell r="DC10">
            <v>3450998939</v>
          </cell>
          <cell r="DD10">
            <v>3502776192</v>
          </cell>
          <cell r="DE10" t="str">
            <v>TOTAL</v>
          </cell>
          <cell r="DF10">
            <v>2281127</v>
          </cell>
          <cell r="DG10">
            <v>79713075</v>
          </cell>
          <cell r="DH10">
            <v>81994202</v>
          </cell>
          <cell r="DI10" t="str">
            <v>TOTAL</v>
          </cell>
          <cell r="DJ10">
            <v>3765372</v>
          </cell>
          <cell r="DK10">
            <v>90161798</v>
          </cell>
          <cell r="DL10">
            <v>93927170</v>
          </cell>
          <cell r="DM10" t="str">
            <v>TOTAL</v>
          </cell>
          <cell r="DN10">
            <v>8316205</v>
          </cell>
          <cell r="DO10">
            <v>275516818</v>
          </cell>
          <cell r="DP10">
            <v>283833023</v>
          </cell>
          <cell r="DQ10" t="str">
            <v>TOTAL</v>
          </cell>
          <cell r="DR10">
            <v>667040</v>
          </cell>
          <cell r="DS10">
            <v>18746056</v>
          </cell>
          <cell r="DT10">
            <v>19413096</v>
          </cell>
          <cell r="DU10" t="str">
            <v>TOTAL</v>
          </cell>
          <cell r="DV10">
            <v>1991560</v>
          </cell>
          <cell r="DW10">
            <v>21676102</v>
          </cell>
          <cell r="DX10">
            <v>23667662</v>
          </cell>
          <cell r="DY10" t="str">
            <v>TOTAL</v>
          </cell>
          <cell r="DZ10">
            <v>8361871</v>
          </cell>
          <cell r="EA10">
            <v>270211077</v>
          </cell>
          <cell r="EB10">
            <v>278572948</v>
          </cell>
          <cell r="ED10" t="str">
            <v>COLFAX</v>
          </cell>
          <cell r="EE10">
            <v>43286583</v>
          </cell>
          <cell r="EF10">
            <v>511409909</v>
          </cell>
        </row>
        <row r="11">
          <cell r="K11" t="str">
            <v xml:space="preserve"> </v>
          </cell>
          <cell r="BI11" t="str">
            <v>-</v>
          </cell>
          <cell r="BJ11" t="str">
            <v>-</v>
          </cell>
          <cell r="BK11" t="str">
            <v>-</v>
          </cell>
          <cell r="BL11" t="str">
            <v>-</v>
          </cell>
          <cell r="ED11" t="str">
            <v xml:space="preserve"> </v>
          </cell>
        </row>
        <row r="12">
          <cell r="A12" t="str">
            <v>12-IN LR NON-RES</v>
          </cell>
          <cell r="B12">
            <v>1075221</v>
          </cell>
          <cell r="C12">
            <v>24297454</v>
          </cell>
          <cell r="D12">
            <v>25372675</v>
          </cell>
          <cell r="E12" t="str">
            <v>1-OUT NON-RES</v>
          </cell>
          <cell r="F12">
            <v>7288342</v>
          </cell>
          <cell r="G12">
            <v>11035690</v>
          </cell>
          <cell r="H12">
            <v>18324032</v>
          </cell>
          <cell r="I12" t="str">
            <v>1-OUT NON-RES</v>
          </cell>
          <cell r="J12">
            <v>68751297</v>
          </cell>
          <cell r="K12">
            <v>55407087</v>
          </cell>
          <cell r="L12">
            <v>124158384</v>
          </cell>
          <cell r="M12" t="str">
            <v>3-A-IN NON-RES</v>
          </cell>
          <cell r="N12">
            <v>645651</v>
          </cell>
          <cell r="O12">
            <v>24596806</v>
          </cell>
          <cell r="P12">
            <v>25242457</v>
          </cell>
          <cell r="Q12" t="str">
            <v>3-A-IN NON-RES</v>
          </cell>
          <cell r="R12">
            <v>91107</v>
          </cell>
          <cell r="S12">
            <v>6173292</v>
          </cell>
          <cell r="T12">
            <v>6264399</v>
          </cell>
          <cell r="U12" t="str">
            <v>1-OUT NON-RES</v>
          </cell>
          <cell r="V12">
            <v>34417507</v>
          </cell>
          <cell r="W12">
            <v>56613187</v>
          </cell>
          <cell r="X12">
            <v>91030694</v>
          </cell>
          <cell r="Y12" t="str">
            <v>20-OUT NON-RES</v>
          </cell>
          <cell r="Z12">
            <v>23869150</v>
          </cell>
          <cell r="AA12">
            <v>10036455</v>
          </cell>
          <cell r="AB12">
            <v>33905605</v>
          </cell>
          <cell r="AC12" t="str">
            <v>2-D-IN NON-RES</v>
          </cell>
          <cell r="AD12">
            <v>731670</v>
          </cell>
          <cell r="AE12">
            <v>10780517</v>
          </cell>
          <cell r="AF12">
            <v>11512187</v>
          </cell>
          <cell r="AG12" t="str">
            <v>C-OUT NON-RES</v>
          </cell>
          <cell r="AH12">
            <v>245790710</v>
          </cell>
          <cell r="AI12">
            <v>34919947</v>
          </cell>
          <cell r="AJ12">
            <v>280710657</v>
          </cell>
          <cell r="AK12" t="str">
            <v>1-OUT NON-RES</v>
          </cell>
          <cell r="AL12">
            <v>22417633</v>
          </cell>
          <cell r="AM12">
            <v>63709896</v>
          </cell>
          <cell r="AN12">
            <v>86127529</v>
          </cell>
          <cell r="AO12" t="str">
            <v>8-OUT NON-RES</v>
          </cell>
          <cell r="AP12">
            <v>16473902</v>
          </cell>
          <cell r="AQ12">
            <v>8345660</v>
          </cell>
          <cell r="AR12">
            <v>24819562</v>
          </cell>
          <cell r="AS12" t="str">
            <v>3-OUT NON-RES</v>
          </cell>
          <cell r="AT12">
            <v>502263</v>
          </cell>
          <cell r="AU12">
            <v>2629055</v>
          </cell>
          <cell r="AV12">
            <v>3131318</v>
          </cell>
          <cell r="AW12" t="str">
            <v>1-OUT NON-RES</v>
          </cell>
          <cell r="AX12">
            <v>65973721</v>
          </cell>
          <cell r="AY12">
            <v>8089646</v>
          </cell>
          <cell r="AZ12">
            <v>74063367</v>
          </cell>
          <cell r="BA12" t="str">
            <v>1-OUT NON-RES</v>
          </cell>
          <cell r="BB12">
            <v>41675823</v>
          </cell>
          <cell r="BC12">
            <v>34843478</v>
          </cell>
          <cell r="BD12">
            <v>76519301</v>
          </cell>
          <cell r="BE12" t="str">
            <v>35-IN NON-RES</v>
          </cell>
          <cell r="BF12">
            <v>1159979</v>
          </cell>
          <cell r="BG12">
            <v>18447233</v>
          </cell>
          <cell r="BH12">
            <v>19607212</v>
          </cell>
          <cell r="BI12" t="str">
            <v>TOTAL NON-RES</v>
          </cell>
          <cell r="BJ12">
            <v>8046650</v>
          </cell>
          <cell r="BK12">
            <v>95550310</v>
          </cell>
          <cell r="BL12">
            <v>103596960</v>
          </cell>
          <cell r="BM12" t="str">
            <v>1-A-IN NON-RES</v>
          </cell>
          <cell r="BN12">
            <v>1010976</v>
          </cell>
          <cell r="BO12">
            <v>3269998</v>
          </cell>
          <cell r="BP12">
            <v>4280974</v>
          </cell>
          <cell r="BQ12" t="str">
            <v>1-OUT NON-RES</v>
          </cell>
          <cell r="BR12">
            <v>242089965</v>
          </cell>
          <cell r="BS12">
            <v>39987700</v>
          </cell>
          <cell r="BT12">
            <v>282077665</v>
          </cell>
          <cell r="BU12" t="str">
            <v>1-A NON-RES</v>
          </cell>
          <cell r="BV12">
            <v>377814</v>
          </cell>
          <cell r="BW12">
            <v>1394035</v>
          </cell>
          <cell r="BX12">
            <v>1771849</v>
          </cell>
          <cell r="BY12" t="str">
            <v>1-OUT NON-RES</v>
          </cell>
          <cell r="BZ12">
            <v>27176482</v>
          </cell>
          <cell r="CA12">
            <v>33192038</v>
          </cell>
          <cell r="CB12">
            <v>60368520</v>
          </cell>
          <cell r="CC12" t="str">
            <v>1-OUT NON-RES</v>
          </cell>
          <cell r="CD12">
            <v>11537394</v>
          </cell>
          <cell r="CE12">
            <v>6759108</v>
          </cell>
          <cell r="CF12">
            <v>18296502</v>
          </cell>
          <cell r="CG12" t="str">
            <v>19-OUT NON-RES</v>
          </cell>
          <cell r="CH12">
            <v>8809341</v>
          </cell>
          <cell r="CI12">
            <v>27125263</v>
          </cell>
          <cell r="CJ12">
            <v>35934604</v>
          </cell>
          <cell r="CK12" t="str">
            <v>1-OUT NON-RES</v>
          </cell>
          <cell r="CL12">
            <v>17552238</v>
          </cell>
          <cell r="CM12">
            <v>40046484</v>
          </cell>
          <cell r="CN12">
            <v>57598722</v>
          </cell>
          <cell r="CO12" t="str">
            <v>1-OUT NON-RES</v>
          </cell>
          <cell r="CP12">
            <v>18524961</v>
          </cell>
          <cell r="CQ12">
            <v>75904487</v>
          </cell>
          <cell r="CR12">
            <v>94429448</v>
          </cell>
          <cell r="CS12" t="str">
            <v>2-OUT NON-RES</v>
          </cell>
          <cell r="CT12">
            <v>87257851</v>
          </cell>
          <cell r="CU12">
            <v>40134911</v>
          </cell>
          <cell r="CV12">
            <v>127392762</v>
          </cell>
          <cell r="CW12" t="str">
            <v>1-OUT NON-RES</v>
          </cell>
          <cell r="CX12">
            <v>9548364</v>
          </cell>
          <cell r="CY12">
            <v>26036074</v>
          </cell>
          <cell r="CZ12">
            <v>35584438</v>
          </cell>
          <cell r="DA12" t="str">
            <v>C-OUT NON-RES</v>
          </cell>
          <cell r="DB12">
            <v>32468488</v>
          </cell>
          <cell r="DC12">
            <v>535177731</v>
          </cell>
          <cell r="DD12">
            <v>567646219</v>
          </cell>
          <cell r="DE12" t="str">
            <v>6-W-IN NON-RES</v>
          </cell>
          <cell r="DF12">
            <v>66785</v>
          </cell>
          <cell r="DG12">
            <v>1154522</v>
          </cell>
          <cell r="DH12">
            <v>1221307</v>
          </cell>
          <cell r="DI12" t="str">
            <v>1-OUT NON-RES</v>
          </cell>
          <cell r="DJ12">
            <v>16800554</v>
          </cell>
          <cell r="DK12">
            <v>13550083</v>
          </cell>
          <cell r="DL12">
            <v>30350637</v>
          </cell>
          <cell r="DM12" t="str">
            <v>1-OUT NON-RES</v>
          </cell>
          <cell r="DN12">
            <v>10756258</v>
          </cell>
          <cell r="DO12">
            <v>76746638</v>
          </cell>
          <cell r="DP12">
            <v>87502896</v>
          </cell>
          <cell r="DQ12" t="str">
            <v>7-OUT NON-RES</v>
          </cell>
          <cell r="DR12">
            <v>17418075</v>
          </cell>
          <cell r="DS12">
            <v>22028410</v>
          </cell>
          <cell r="DT12">
            <v>39446485</v>
          </cell>
          <cell r="DU12" t="str">
            <v>1-OUT NON-RES</v>
          </cell>
          <cell r="DV12">
            <v>15787390</v>
          </cell>
          <cell r="DW12">
            <v>37101080</v>
          </cell>
          <cell r="DX12">
            <v>52888470</v>
          </cell>
          <cell r="DY12" t="str">
            <v>1-OUT NON-RES</v>
          </cell>
          <cell r="DZ12">
            <v>18942740</v>
          </cell>
          <cell r="EA12">
            <v>40280827</v>
          </cell>
          <cell r="EB12">
            <v>59223567</v>
          </cell>
          <cell r="ED12" t="str">
            <v>CURRY</v>
          </cell>
          <cell r="EE12">
            <v>73894085</v>
          </cell>
          <cell r="EF12">
            <v>520304802</v>
          </cell>
        </row>
        <row r="13">
          <cell r="A13" t="str">
            <v>12-IN LR RESIDENTIAL</v>
          </cell>
          <cell r="C13">
            <v>185975617</v>
          </cell>
          <cell r="D13">
            <v>185975617</v>
          </cell>
          <cell r="E13" t="str">
            <v>1-OUT RESIDENTIAL</v>
          </cell>
          <cell r="G13">
            <v>15742515</v>
          </cell>
          <cell r="H13">
            <v>15742515</v>
          </cell>
          <cell r="I13" t="str">
            <v>1-OUT RESIDENTIAL</v>
          </cell>
          <cell r="K13">
            <v>85093014</v>
          </cell>
          <cell r="L13">
            <v>85093014</v>
          </cell>
          <cell r="M13" t="str">
            <v>3-A-IN RESIDENTIAL</v>
          </cell>
          <cell r="O13">
            <v>7201896</v>
          </cell>
          <cell r="P13">
            <v>7201896</v>
          </cell>
          <cell r="Q13" t="str">
            <v>3-A-IN RESIDENTIAL</v>
          </cell>
          <cell r="R13">
            <v>0</v>
          </cell>
          <cell r="S13">
            <v>8131443</v>
          </cell>
          <cell r="T13">
            <v>8131443</v>
          </cell>
          <cell r="U13" t="str">
            <v>1-OUT RESIDENTIAL</v>
          </cell>
          <cell r="W13">
            <v>37345139</v>
          </cell>
          <cell r="X13">
            <v>37345139</v>
          </cell>
          <cell r="Y13" t="str">
            <v>20-OUT RESIDENTIAL</v>
          </cell>
          <cell r="AA13">
            <v>6105243</v>
          </cell>
          <cell r="AB13">
            <v>6105243</v>
          </cell>
          <cell r="AC13" t="str">
            <v>2-D-IN RESIDENTIAL</v>
          </cell>
          <cell r="AE13">
            <v>40864268</v>
          </cell>
          <cell r="AF13">
            <v>40864268</v>
          </cell>
          <cell r="AG13" t="str">
            <v>C-OUT RESIDENTIAL</v>
          </cell>
          <cell r="AI13">
            <v>63542762</v>
          </cell>
          <cell r="AJ13">
            <v>63542762</v>
          </cell>
          <cell r="AK13" t="str">
            <v>1-OUT RESIDENTIAL</v>
          </cell>
          <cell r="AM13">
            <v>162495828</v>
          </cell>
          <cell r="AN13">
            <v>162495828</v>
          </cell>
          <cell r="AO13" t="str">
            <v>8-OUT RESIDENTIAL</v>
          </cell>
          <cell r="AQ13">
            <v>9228110</v>
          </cell>
          <cell r="AR13">
            <v>9228110</v>
          </cell>
          <cell r="AS13" t="str">
            <v>3-OUT RESIDENTIAL</v>
          </cell>
          <cell r="AT13">
            <v>0</v>
          </cell>
          <cell r="AU13">
            <v>1617488</v>
          </cell>
          <cell r="AV13">
            <v>1617488</v>
          </cell>
          <cell r="AW13" t="str">
            <v>1-OUT RESIDENTIAL</v>
          </cell>
          <cell r="AX13">
            <v>0</v>
          </cell>
          <cell r="AY13">
            <v>2354770</v>
          </cell>
          <cell r="AZ13">
            <v>2354770</v>
          </cell>
          <cell r="BA13" t="str">
            <v>1-OUT RESIDENTIAL</v>
          </cell>
          <cell r="BB13">
            <v>0</v>
          </cell>
          <cell r="BC13">
            <v>22449749</v>
          </cell>
          <cell r="BD13">
            <v>22449749</v>
          </cell>
          <cell r="BE13" t="str">
            <v>35-IN RESIDENTIAL</v>
          </cell>
          <cell r="BG13">
            <v>22074664</v>
          </cell>
          <cell r="BH13">
            <v>22074664</v>
          </cell>
          <cell r="BI13" t="str">
            <v>TOTAL RESIDENTIAL</v>
          </cell>
          <cell r="BJ13">
            <v>0</v>
          </cell>
          <cell r="BK13">
            <v>632261630</v>
          </cell>
          <cell r="BL13">
            <v>632261630</v>
          </cell>
          <cell r="BM13" t="str">
            <v>1-A-IN RESIDENTIAL</v>
          </cell>
          <cell r="BO13">
            <v>6438904</v>
          </cell>
          <cell r="BP13">
            <v>6438904</v>
          </cell>
          <cell r="BQ13" t="str">
            <v>1-OUT RESIDENTIAL</v>
          </cell>
          <cell r="BS13">
            <v>55082240</v>
          </cell>
          <cell r="BT13">
            <v>55082240</v>
          </cell>
          <cell r="BU13" t="str">
            <v>1-A RESIDENTIAL</v>
          </cell>
          <cell r="BW13">
            <v>2140538</v>
          </cell>
          <cell r="BX13">
            <v>2140538</v>
          </cell>
          <cell r="BY13" t="str">
            <v>1-OUT RESIDENTIAL</v>
          </cell>
          <cell r="BZ13">
            <v>0</v>
          </cell>
          <cell r="CA13">
            <v>112764679</v>
          </cell>
          <cell r="CB13">
            <v>112764679</v>
          </cell>
          <cell r="CC13" t="str">
            <v>1-OUT RESIDENTIAL</v>
          </cell>
          <cell r="CE13">
            <v>11561421</v>
          </cell>
          <cell r="CF13">
            <v>11561421</v>
          </cell>
          <cell r="CG13" t="str">
            <v>19-OUT RESIDENTIAL</v>
          </cell>
          <cell r="CI13">
            <v>59791314</v>
          </cell>
          <cell r="CJ13">
            <v>59791314</v>
          </cell>
          <cell r="CK13" t="str">
            <v>1-OUT RESIDENTIAL</v>
          </cell>
          <cell r="CL13">
            <v>0</v>
          </cell>
          <cell r="CM13">
            <v>30342761</v>
          </cell>
          <cell r="CN13">
            <v>30342761</v>
          </cell>
          <cell r="CO13" t="str">
            <v>1-OUT RESIDENTIAL</v>
          </cell>
          <cell r="CQ13">
            <v>310032675</v>
          </cell>
          <cell r="CR13">
            <v>310032675</v>
          </cell>
          <cell r="CS13" t="str">
            <v>2-OUT RESIDENTIAL</v>
          </cell>
          <cell r="CU13">
            <v>114850762</v>
          </cell>
          <cell r="CV13">
            <v>114850762</v>
          </cell>
          <cell r="CW13" t="str">
            <v>1-OUT RESIDENTIAL</v>
          </cell>
          <cell r="CX13">
            <v>0</v>
          </cell>
          <cell r="CY13">
            <v>60956451</v>
          </cell>
          <cell r="CZ13">
            <v>60956451</v>
          </cell>
          <cell r="DA13" t="str">
            <v>C-OUT RESIDENTIAL</v>
          </cell>
          <cell r="DB13">
            <v>0</v>
          </cell>
          <cell r="DC13">
            <v>1989760414</v>
          </cell>
          <cell r="DD13">
            <v>1989760414</v>
          </cell>
          <cell r="DE13" t="str">
            <v>6-W-IN RESIDENTIAL</v>
          </cell>
          <cell r="DG13">
            <v>3454386</v>
          </cell>
          <cell r="DH13">
            <v>3454386</v>
          </cell>
          <cell r="DI13" t="str">
            <v>1-OUT RESIDENTIAL</v>
          </cell>
          <cell r="DK13">
            <v>24319216</v>
          </cell>
          <cell r="DL13">
            <v>24319216</v>
          </cell>
          <cell r="DM13" t="str">
            <v>1-OUT RESIDENTIAL</v>
          </cell>
          <cell r="DO13">
            <v>204268352</v>
          </cell>
          <cell r="DP13">
            <v>204268352</v>
          </cell>
          <cell r="DQ13" t="str">
            <v>7-OUT RESIDENTIAL</v>
          </cell>
          <cell r="DR13">
            <v>0</v>
          </cell>
          <cell r="DS13">
            <v>22682730</v>
          </cell>
          <cell r="DT13">
            <v>22682730</v>
          </cell>
          <cell r="DU13" t="str">
            <v>1-OUT RESIDENTIAL</v>
          </cell>
          <cell r="DV13">
            <v>0</v>
          </cell>
          <cell r="DW13">
            <v>10011447</v>
          </cell>
          <cell r="DX13">
            <v>10011447</v>
          </cell>
          <cell r="DY13" t="str">
            <v>1-OUT RESIDENTIAL</v>
          </cell>
          <cell r="EA13">
            <v>186408118</v>
          </cell>
          <cell r="EB13">
            <v>186408118</v>
          </cell>
          <cell r="ED13" t="str">
            <v>DEBACA</v>
          </cell>
          <cell r="EE13">
            <v>25073519</v>
          </cell>
          <cell r="EF13">
            <v>22730075</v>
          </cell>
        </row>
        <row r="14">
          <cell r="A14" t="str">
            <v>TOTAL</v>
          </cell>
          <cell r="B14">
            <v>1075221</v>
          </cell>
          <cell r="C14">
            <v>210273071</v>
          </cell>
          <cell r="D14">
            <v>211348292</v>
          </cell>
          <cell r="E14" t="str">
            <v>TOTAL</v>
          </cell>
          <cell r="F14">
            <v>7288342</v>
          </cell>
          <cell r="G14">
            <v>26778205</v>
          </cell>
          <cell r="H14">
            <v>34066547</v>
          </cell>
          <cell r="I14" t="str">
            <v>TOTAL</v>
          </cell>
          <cell r="J14">
            <v>68751297</v>
          </cell>
          <cell r="K14">
            <v>140500101</v>
          </cell>
          <cell r="L14">
            <v>209251398</v>
          </cell>
          <cell r="M14" t="str">
            <v>TOTAL</v>
          </cell>
          <cell r="N14">
            <v>645651</v>
          </cell>
          <cell r="O14">
            <v>31798702</v>
          </cell>
          <cell r="P14">
            <v>32444353</v>
          </cell>
          <cell r="Q14" t="str">
            <v>TOTAL</v>
          </cell>
          <cell r="R14">
            <v>91107</v>
          </cell>
          <cell r="S14">
            <v>14304735</v>
          </cell>
          <cell r="T14">
            <v>14395842</v>
          </cell>
          <cell r="U14" t="str">
            <v>TOTAL</v>
          </cell>
          <cell r="V14">
            <v>34417507</v>
          </cell>
          <cell r="W14">
            <v>93958326</v>
          </cell>
          <cell r="X14">
            <v>128375833</v>
          </cell>
          <cell r="Y14" t="str">
            <v>TOTAL</v>
          </cell>
          <cell r="Z14">
            <v>23869150</v>
          </cell>
          <cell r="AA14">
            <v>16141698</v>
          </cell>
          <cell r="AB14">
            <v>40010848</v>
          </cell>
          <cell r="AC14" t="str">
            <v>TOTAL</v>
          </cell>
          <cell r="AD14">
            <v>731670</v>
          </cell>
          <cell r="AE14">
            <v>51644785</v>
          </cell>
          <cell r="AF14">
            <v>52376455</v>
          </cell>
          <cell r="AG14" t="str">
            <v>TOTAL</v>
          </cell>
          <cell r="AH14">
            <v>245790710</v>
          </cell>
          <cell r="AI14">
            <v>98462709</v>
          </cell>
          <cell r="AJ14">
            <v>344253419</v>
          </cell>
          <cell r="AK14" t="str">
            <v>TOTAL</v>
          </cell>
          <cell r="AL14">
            <v>22417633</v>
          </cell>
          <cell r="AM14">
            <v>226205724</v>
          </cell>
          <cell r="AN14">
            <v>248623357</v>
          </cell>
          <cell r="AO14" t="str">
            <v>TOTAL</v>
          </cell>
          <cell r="AP14">
            <v>16473902</v>
          </cell>
          <cell r="AQ14">
            <v>17573770</v>
          </cell>
          <cell r="AR14">
            <v>34047672</v>
          </cell>
          <cell r="AS14" t="str">
            <v>TOTAL</v>
          </cell>
          <cell r="AT14">
            <v>502263</v>
          </cell>
          <cell r="AU14">
            <v>4246543</v>
          </cell>
          <cell r="AV14">
            <v>4748806</v>
          </cell>
          <cell r="AW14" t="str">
            <v>TOTAL</v>
          </cell>
          <cell r="AX14">
            <v>65973721</v>
          </cell>
          <cell r="AY14">
            <v>10444416</v>
          </cell>
          <cell r="AZ14">
            <v>76418137</v>
          </cell>
          <cell r="BA14" t="str">
            <v>TOTAL</v>
          </cell>
          <cell r="BB14">
            <v>41675823</v>
          </cell>
          <cell r="BC14">
            <v>57293227</v>
          </cell>
          <cell r="BD14">
            <v>98969050</v>
          </cell>
          <cell r="BE14" t="str">
            <v>TOTAL</v>
          </cell>
          <cell r="BF14">
            <v>1159979</v>
          </cell>
          <cell r="BG14">
            <v>40521897</v>
          </cell>
          <cell r="BH14">
            <v>41681876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TOTAL</v>
          </cell>
          <cell r="BN14">
            <v>1010976</v>
          </cell>
          <cell r="BO14">
            <v>9708902</v>
          </cell>
          <cell r="BP14">
            <v>10719878</v>
          </cell>
          <cell r="BQ14" t="str">
            <v>TOTAL</v>
          </cell>
          <cell r="BR14">
            <v>242089965</v>
          </cell>
          <cell r="BS14">
            <v>95069940</v>
          </cell>
          <cell r="BT14">
            <v>337159905</v>
          </cell>
          <cell r="BU14" t="str">
            <v>TOTAL</v>
          </cell>
          <cell r="BV14">
            <v>377814</v>
          </cell>
          <cell r="BW14">
            <v>3534573</v>
          </cell>
          <cell r="BX14">
            <v>3912387</v>
          </cell>
          <cell r="BY14" t="str">
            <v>TOTAL</v>
          </cell>
          <cell r="BZ14">
            <v>27176482</v>
          </cell>
          <cell r="CA14">
            <v>145956717</v>
          </cell>
          <cell r="CB14">
            <v>173133199</v>
          </cell>
          <cell r="CC14" t="str">
            <v>TOTAL</v>
          </cell>
          <cell r="CD14">
            <v>11537394</v>
          </cell>
          <cell r="CE14">
            <v>18320529</v>
          </cell>
          <cell r="CF14">
            <v>29857923</v>
          </cell>
          <cell r="CG14" t="str">
            <v>TOTAL</v>
          </cell>
          <cell r="CH14">
            <v>8809341</v>
          </cell>
          <cell r="CI14">
            <v>86916577</v>
          </cell>
          <cell r="CJ14">
            <v>95725918</v>
          </cell>
          <cell r="CK14" t="str">
            <v>TOTAL</v>
          </cell>
          <cell r="CL14">
            <v>17552238</v>
          </cell>
          <cell r="CM14">
            <v>70389245</v>
          </cell>
          <cell r="CN14">
            <v>87941483</v>
          </cell>
          <cell r="CO14" t="str">
            <v>TOTAL</v>
          </cell>
          <cell r="CP14">
            <v>18524961</v>
          </cell>
          <cell r="CQ14">
            <v>385937162</v>
          </cell>
          <cell r="CR14">
            <v>404462123</v>
          </cell>
          <cell r="CS14" t="str">
            <v>TOTAL</v>
          </cell>
          <cell r="CT14">
            <v>87257851</v>
          </cell>
          <cell r="CU14">
            <v>154985673</v>
          </cell>
          <cell r="CV14">
            <v>242243524</v>
          </cell>
          <cell r="CW14" t="str">
            <v>TOTAL</v>
          </cell>
          <cell r="CX14">
            <v>9548364</v>
          </cell>
          <cell r="CY14">
            <v>86992525</v>
          </cell>
          <cell r="CZ14">
            <v>96540889</v>
          </cell>
          <cell r="DA14" t="str">
            <v>TOTAL</v>
          </cell>
          <cell r="DB14">
            <v>32468488</v>
          </cell>
          <cell r="DC14">
            <v>2524938145</v>
          </cell>
          <cell r="DD14">
            <v>2557406633</v>
          </cell>
          <cell r="DE14" t="str">
            <v>TOTAL</v>
          </cell>
          <cell r="DF14">
            <v>66785</v>
          </cell>
          <cell r="DG14">
            <v>4608908</v>
          </cell>
          <cell r="DH14">
            <v>4675693</v>
          </cell>
          <cell r="DI14" t="str">
            <v>TOTAL</v>
          </cell>
          <cell r="DJ14">
            <v>16800554</v>
          </cell>
          <cell r="DK14">
            <v>37869299</v>
          </cell>
          <cell r="DL14">
            <v>54669853</v>
          </cell>
          <cell r="DM14" t="str">
            <v>TOTAL</v>
          </cell>
          <cell r="DN14">
            <v>10756258</v>
          </cell>
          <cell r="DO14">
            <v>281014990</v>
          </cell>
          <cell r="DP14">
            <v>291771248</v>
          </cell>
          <cell r="DQ14" t="str">
            <v>TOTAL</v>
          </cell>
          <cell r="DR14">
            <v>17418075</v>
          </cell>
          <cell r="DS14">
            <v>44711140</v>
          </cell>
          <cell r="DT14">
            <v>62129215</v>
          </cell>
          <cell r="DU14" t="str">
            <v>TOTAL</v>
          </cell>
          <cell r="DV14">
            <v>15787390</v>
          </cell>
          <cell r="DW14">
            <v>47112527</v>
          </cell>
          <cell r="DX14">
            <v>62899917</v>
          </cell>
          <cell r="DY14" t="str">
            <v>TOTAL</v>
          </cell>
          <cell r="DZ14">
            <v>18942740</v>
          </cell>
          <cell r="EA14">
            <v>226688945</v>
          </cell>
          <cell r="EB14">
            <v>245631685</v>
          </cell>
          <cell r="ED14" t="str">
            <v>DONA ANA</v>
          </cell>
          <cell r="EE14">
            <v>195264526</v>
          </cell>
          <cell r="EF14">
            <v>3261915864</v>
          </cell>
        </row>
        <row r="15"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BI15" t="str">
            <v>GRAND TOTAL</v>
          </cell>
          <cell r="BJ15">
            <v>8046650</v>
          </cell>
          <cell r="BK15">
            <v>727811940</v>
          </cell>
          <cell r="BL15">
            <v>735858590</v>
          </cell>
          <cell r="ED15" t="str">
            <v>EDDY</v>
          </cell>
          <cell r="EE15">
            <v>471041227</v>
          </cell>
          <cell r="EF15">
            <v>610951536</v>
          </cell>
        </row>
        <row r="16">
          <cell r="A16" t="str">
            <v>12-IN T NON-RES</v>
          </cell>
          <cell r="B16">
            <v>508147</v>
          </cell>
          <cell r="C16">
            <v>2599512</v>
          </cell>
          <cell r="D16">
            <v>3107659</v>
          </cell>
          <cell r="E16" t="str">
            <v>2  NON-RES</v>
          </cell>
          <cell r="F16">
            <v>8170950</v>
          </cell>
          <cell r="G16">
            <v>21442821</v>
          </cell>
          <cell r="H16">
            <v>29613771</v>
          </cell>
          <cell r="I16" t="str">
            <v>1-L  NON-RES</v>
          </cell>
          <cell r="J16">
            <v>0</v>
          </cell>
          <cell r="K16">
            <v>22918</v>
          </cell>
          <cell r="L16">
            <v>22918</v>
          </cell>
          <cell r="M16" t="str">
            <v>3-OUT  NON-RES</v>
          </cell>
          <cell r="N16">
            <v>38728562</v>
          </cell>
          <cell r="O16">
            <v>34923871</v>
          </cell>
          <cell r="P16">
            <v>73652433</v>
          </cell>
          <cell r="Q16" t="str">
            <v>3-B-IN NON-RES</v>
          </cell>
          <cell r="R16">
            <v>1619660</v>
          </cell>
          <cell r="S16">
            <v>95724221</v>
          </cell>
          <cell r="T16">
            <v>97343881</v>
          </cell>
          <cell r="U16" t="str">
            <v>2-IN  NON-RES</v>
          </cell>
          <cell r="V16">
            <v>592835</v>
          </cell>
          <cell r="W16">
            <v>1124574</v>
          </cell>
          <cell r="X16">
            <v>1717409</v>
          </cell>
          <cell r="Y16" t="str">
            <v>TOTAL NON-RES</v>
          </cell>
          <cell r="Z16">
            <v>25073519</v>
          </cell>
          <cell r="AA16">
            <v>12169333</v>
          </cell>
          <cell r="AB16">
            <v>37242852</v>
          </cell>
          <cell r="AC16" t="str">
            <v>2-OUT NON-RES</v>
          </cell>
          <cell r="AD16">
            <v>36181993</v>
          </cell>
          <cell r="AE16">
            <v>133201417</v>
          </cell>
          <cell r="AF16">
            <v>169383410</v>
          </cell>
          <cell r="AG16" t="str">
            <v>10-IN NON-RES</v>
          </cell>
          <cell r="AH16">
            <v>749879</v>
          </cell>
          <cell r="AI16">
            <v>970565</v>
          </cell>
          <cell r="AJ16">
            <v>1720444</v>
          </cell>
          <cell r="AK16" t="str">
            <v>2-H-IN  NON-RES</v>
          </cell>
          <cell r="AL16">
            <v>491556</v>
          </cell>
          <cell r="AM16">
            <v>510116</v>
          </cell>
          <cell r="AN16">
            <v>1001672</v>
          </cell>
          <cell r="AO16" t="str">
            <v>33-IN NON-RES</v>
          </cell>
          <cell r="AP16">
            <v>2144970</v>
          </cell>
          <cell r="AQ16">
            <v>1797378</v>
          </cell>
          <cell r="AR16">
            <v>3942348</v>
          </cell>
          <cell r="AS16" t="str">
            <v>5-IN  NON-RES</v>
          </cell>
          <cell r="AT16">
            <v>120193</v>
          </cell>
          <cell r="AU16">
            <v>106461</v>
          </cell>
          <cell r="AV16">
            <v>226654</v>
          </cell>
          <cell r="AW16" t="str">
            <v>1-A-IN  NON-RES</v>
          </cell>
          <cell r="AX16">
            <v>3518</v>
          </cell>
          <cell r="AY16">
            <v>295125</v>
          </cell>
          <cell r="AZ16">
            <v>298643</v>
          </cell>
          <cell r="BA16" t="str">
            <v>8-IN  NON-RES</v>
          </cell>
          <cell r="BB16">
            <v>8729399</v>
          </cell>
          <cell r="BC16">
            <v>5405641</v>
          </cell>
          <cell r="BD16">
            <v>14135040</v>
          </cell>
          <cell r="BE16" t="str">
            <v>3/35-OUT NON-RES</v>
          </cell>
          <cell r="BF16">
            <v>2319188</v>
          </cell>
          <cell r="BG16">
            <v>24140841</v>
          </cell>
          <cell r="BH16">
            <v>26460029</v>
          </cell>
          <cell r="BI16" t="str">
            <v>=</v>
          </cell>
          <cell r="BJ16" t="str">
            <v>=</v>
          </cell>
          <cell r="BK16" t="str">
            <v>=</v>
          </cell>
          <cell r="BL16" t="str">
            <v>=</v>
          </cell>
          <cell r="BM16" t="str">
            <v>1-OUT NON-RES</v>
          </cell>
          <cell r="BN16">
            <v>70866521</v>
          </cell>
          <cell r="BO16">
            <v>70839591</v>
          </cell>
          <cell r="BP16">
            <v>141706112</v>
          </cell>
          <cell r="BQ16" t="str">
            <v>ZUNI NON-RES</v>
          </cell>
          <cell r="BR16">
            <v>1884177</v>
          </cell>
          <cell r="BS16">
            <v>775590</v>
          </cell>
          <cell r="BT16">
            <v>2659767</v>
          </cell>
          <cell r="BU16" t="str">
            <v>12-IN NON-RES</v>
          </cell>
          <cell r="BV16">
            <v>1054783</v>
          </cell>
          <cell r="BW16">
            <v>512735</v>
          </cell>
          <cell r="BX16">
            <v>1567518</v>
          </cell>
          <cell r="BY16" t="str">
            <v>4-IN NON-RES</v>
          </cell>
          <cell r="BZ16">
            <v>2124097</v>
          </cell>
          <cell r="CA16">
            <v>4372021</v>
          </cell>
          <cell r="CB16">
            <v>6496118</v>
          </cell>
          <cell r="CC16" t="str">
            <v>19-IN NON-RES</v>
          </cell>
          <cell r="CD16">
            <v>94966</v>
          </cell>
          <cell r="CE16">
            <v>120725</v>
          </cell>
          <cell r="CF16">
            <v>215691</v>
          </cell>
          <cell r="CG16" t="str">
            <v>21  NON-RES</v>
          </cell>
          <cell r="CH16">
            <v>54009692</v>
          </cell>
          <cell r="CI16">
            <v>8328417</v>
          </cell>
          <cell r="CJ16">
            <v>62338109</v>
          </cell>
          <cell r="CK16" t="str">
            <v>2-IN NON-RES</v>
          </cell>
          <cell r="CL16">
            <v>334302</v>
          </cell>
          <cell r="CM16">
            <v>281468</v>
          </cell>
          <cell r="CN16">
            <v>615770</v>
          </cell>
          <cell r="CO16" t="str">
            <v>94-OUT NON-RES</v>
          </cell>
          <cell r="CP16">
            <v>5559647</v>
          </cell>
          <cell r="CQ16">
            <v>84385013</v>
          </cell>
          <cell r="CR16">
            <v>89944660</v>
          </cell>
          <cell r="CS16" t="str">
            <v>5-IN NON-RES</v>
          </cell>
          <cell r="CT16">
            <v>23126941</v>
          </cell>
          <cell r="CU16">
            <v>328291553</v>
          </cell>
          <cell r="CV16">
            <v>351418494</v>
          </cell>
          <cell r="CW16" t="str">
            <v>2-IN NON-RES</v>
          </cell>
          <cell r="CX16">
            <v>4911925</v>
          </cell>
          <cell r="CY16">
            <v>42960066</v>
          </cell>
          <cell r="CZ16">
            <v>47871991</v>
          </cell>
          <cell r="DA16" t="str">
            <v>1  NON-RES</v>
          </cell>
          <cell r="DB16">
            <v>5849803</v>
          </cell>
          <cell r="DC16">
            <v>39233283</v>
          </cell>
          <cell r="DD16">
            <v>45083086</v>
          </cell>
          <cell r="DE16" t="str">
            <v>6-OUT NON-RES</v>
          </cell>
          <cell r="DF16">
            <v>22676540</v>
          </cell>
          <cell r="DG16">
            <v>29711904</v>
          </cell>
          <cell r="DH16">
            <v>52388444</v>
          </cell>
          <cell r="DI16" t="str">
            <v>5  NON-RES</v>
          </cell>
          <cell r="DJ16">
            <v>5834041</v>
          </cell>
          <cell r="DK16">
            <v>25500749</v>
          </cell>
          <cell r="DL16">
            <v>31334790</v>
          </cell>
          <cell r="DM16" t="str">
            <v>1-A  NON-RES</v>
          </cell>
          <cell r="DN16">
            <v>3633477</v>
          </cell>
          <cell r="DO16">
            <v>84078378</v>
          </cell>
          <cell r="DP16">
            <v>87711855</v>
          </cell>
          <cell r="DQ16" t="str">
            <v>7-W-IN  NON-RES</v>
          </cell>
          <cell r="DR16">
            <v>301617</v>
          </cell>
          <cell r="DS16">
            <v>195095</v>
          </cell>
          <cell r="DT16">
            <v>496712</v>
          </cell>
          <cell r="DU16" t="str">
            <v>22-D-IN  NON-RES</v>
          </cell>
          <cell r="DV16">
            <v>949525</v>
          </cell>
          <cell r="DW16">
            <v>337648</v>
          </cell>
          <cell r="DX16">
            <v>1287173</v>
          </cell>
          <cell r="DY16" t="str">
            <v>1-IN-BF NON-RES</v>
          </cell>
          <cell r="DZ16">
            <v>1029889</v>
          </cell>
          <cell r="EA16">
            <v>12799382</v>
          </cell>
          <cell r="EB16">
            <v>13829271</v>
          </cell>
        </row>
        <row r="17">
          <cell r="A17" t="str">
            <v>12-IN T RESIDENTIAL</v>
          </cell>
          <cell r="C17">
            <v>6702109</v>
          </cell>
          <cell r="D17">
            <v>6702109</v>
          </cell>
          <cell r="E17" t="str">
            <v>2  RESIDENTIAL</v>
          </cell>
          <cell r="G17">
            <v>33259910</v>
          </cell>
          <cell r="H17">
            <v>33259910</v>
          </cell>
          <cell r="I17" t="str">
            <v>1-L  RESIDENTIAL</v>
          </cell>
          <cell r="K17">
            <v>28141</v>
          </cell>
          <cell r="L17">
            <v>28141</v>
          </cell>
          <cell r="M17" t="str">
            <v>3-OUT  RESIDENTIAL</v>
          </cell>
          <cell r="O17">
            <v>35478780</v>
          </cell>
          <cell r="P17">
            <v>35478780</v>
          </cell>
          <cell r="Q17" t="str">
            <v>3-B-IN RESIDENTIAL</v>
          </cell>
          <cell r="S17">
            <v>167363015</v>
          </cell>
          <cell r="T17">
            <v>167363015</v>
          </cell>
          <cell r="U17" t="str">
            <v>2-IN  RESIDENTIAL</v>
          </cell>
          <cell r="W17">
            <v>3503963</v>
          </cell>
          <cell r="X17">
            <v>3503963</v>
          </cell>
          <cell r="Y17" t="str">
            <v>TOTAL RESIDENTIAL</v>
          </cell>
          <cell r="Z17">
            <v>0</v>
          </cell>
          <cell r="AA17">
            <v>10560742</v>
          </cell>
          <cell r="AB17">
            <v>10560742</v>
          </cell>
          <cell r="AC17" t="str">
            <v>2-OUT RESIDENTIAL</v>
          </cell>
          <cell r="AE17">
            <v>645715774</v>
          </cell>
          <cell r="AF17">
            <v>645715774</v>
          </cell>
          <cell r="AG17" t="str">
            <v>10-IN RESIDENTIAL</v>
          </cell>
          <cell r="AI17">
            <v>3327044</v>
          </cell>
          <cell r="AJ17">
            <v>3327044</v>
          </cell>
          <cell r="AK17" t="str">
            <v>2-H-IN  RESIDENTIAL</v>
          </cell>
          <cell r="AM17">
            <v>8180312</v>
          </cell>
          <cell r="AN17">
            <v>8180312</v>
          </cell>
          <cell r="AO17" t="str">
            <v>33-IN RESIDENTIAL</v>
          </cell>
          <cell r="AQ17">
            <v>2173216</v>
          </cell>
          <cell r="AR17">
            <v>2173216</v>
          </cell>
          <cell r="AS17" t="str">
            <v>5-IN  RESIDENTIAL</v>
          </cell>
          <cell r="AT17">
            <v>0</v>
          </cell>
          <cell r="AU17">
            <v>417476</v>
          </cell>
          <cell r="AV17">
            <v>417476</v>
          </cell>
          <cell r="AW17" t="str">
            <v>1-A-IN  RESIDENTIAL</v>
          </cell>
          <cell r="AY17">
            <v>483399</v>
          </cell>
          <cell r="AZ17">
            <v>483399</v>
          </cell>
          <cell r="BA17" t="str">
            <v>8-IN  RESIDENTIAL</v>
          </cell>
          <cell r="BB17">
            <v>0</v>
          </cell>
          <cell r="BC17">
            <v>9327820</v>
          </cell>
          <cell r="BD17">
            <v>9327820</v>
          </cell>
          <cell r="BE17" t="str">
            <v>3/35-OUT RESIDENTIAL</v>
          </cell>
          <cell r="BG17">
            <v>41953130</v>
          </cell>
          <cell r="BH17">
            <v>41953130</v>
          </cell>
          <cell r="BI17" t="str">
            <v>FILE:CAVAL08</v>
          </cell>
          <cell r="BK17" t="str">
            <v>TAX YEAR  08</v>
          </cell>
          <cell r="BM17" t="str">
            <v>1-OUT RESIDENTIAL</v>
          </cell>
          <cell r="BO17">
            <v>85268863</v>
          </cell>
          <cell r="BP17">
            <v>85268863</v>
          </cell>
          <cell r="BQ17" t="str">
            <v>ZUNI RESIDENTIAL</v>
          </cell>
          <cell r="BS17">
            <v>20010</v>
          </cell>
          <cell r="BT17">
            <v>20010</v>
          </cell>
          <cell r="BU17" t="str">
            <v>12-IN RESIDENTIAL</v>
          </cell>
          <cell r="BW17">
            <v>2112931</v>
          </cell>
          <cell r="BX17">
            <v>2112931</v>
          </cell>
          <cell r="BY17" t="str">
            <v>4-IN RESIDENTIAL</v>
          </cell>
          <cell r="BZ17">
            <v>0</v>
          </cell>
          <cell r="CA17">
            <v>18778150</v>
          </cell>
          <cell r="CB17">
            <v>18778150</v>
          </cell>
          <cell r="CC17" t="str">
            <v>19-IN RESIDENTIAL</v>
          </cell>
          <cell r="CE17">
            <v>314161</v>
          </cell>
          <cell r="CF17">
            <v>314161</v>
          </cell>
          <cell r="CG17" t="str">
            <v>21  RESIDENTIAL</v>
          </cell>
          <cell r="CI17">
            <v>2875125</v>
          </cell>
          <cell r="CJ17">
            <v>2875125</v>
          </cell>
          <cell r="CK17" t="str">
            <v>2-IN RESIDENTIAL</v>
          </cell>
          <cell r="CL17">
            <v>0</v>
          </cell>
          <cell r="CM17">
            <v>864193</v>
          </cell>
          <cell r="CN17">
            <v>864193</v>
          </cell>
          <cell r="CO17" t="str">
            <v>94-OUT RESIDENTIAL</v>
          </cell>
          <cell r="CQ17">
            <v>11065464</v>
          </cell>
          <cell r="CR17">
            <v>11065464</v>
          </cell>
          <cell r="CS17" t="str">
            <v>5-IN RESIDENTIAL</v>
          </cell>
          <cell r="CU17">
            <v>534624444</v>
          </cell>
          <cell r="CV17">
            <v>534624444</v>
          </cell>
          <cell r="CW17" t="str">
            <v>2-IN RESIDENTIAL</v>
          </cell>
          <cell r="CX17">
            <v>0</v>
          </cell>
          <cell r="CY17">
            <v>75277237</v>
          </cell>
          <cell r="CZ17">
            <v>75277237</v>
          </cell>
          <cell r="DA17" t="str">
            <v>1  RESIDENTIAL</v>
          </cell>
          <cell r="DB17">
            <v>0</v>
          </cell>
          <cell r="DC17">
            <v>122534468</v>
          </cell>
          <cell r="DD17">
            <v>122534468</v>
          </cell>
          <cell r="DE17" t="str">
            <v>6-OUT RESIDENTIAL</v>
          </cell>
          <cell r="DG17">
            <v>55946111</v>
          </cell>
          <cell r="DH17">
            <v>55946111</v>
          </cell>
          <cell r="DI17" t="str">
            <v>5  RESIDENTIAL</v>
          </cell>
          <cell r="DK17">
            <v>13854513</v>
          </cell>
          <cell r="DL17">
            <v>13854513</v>
          </cell>
          <cell r="DM17" t="str">
            <v>1-A  RESIDENTIAL</v>
          </cell>
          <cell r="DO17">
            <v>216514403</v>
          </cell>
          <cell r="DP17">
            <v>216514403</v>
          </cell>
          <cell r="DQ17" t="str">
            <v>7-W-IN  RESIDENTIAL</v>
          </cell>
          <cell r="DR17">
            <v>0</v>
          </cell>
          <cell r="DS17">
            <v>800334</v>
          </cell>
          <cell r="DT17">
            <v>800334</v>
          </cell>
          <cell r="DU17" t="str">
            <v>22-D-IN  RESIDENTIAL</v>
          </cell>
          <cell r="DV17">
            <v>0</v>
          </cell>
          <cell r="DW17">
            <v>691387</v>
          </cell>
          <cell r="DX17">
            <v>691387</v>
          </cell>
          <cell r="DY17" t="str">
            <v>1-IN-BF RESIDENTIAL</v>
          </cell>
          <cell r="EA17">
            <v>58072853</v>
          </cell>
          <cell r="EB17">
            <v>58072853</v>
          </cell>
          <cell r="ED17" t="str">
            <v>GRANT</v>
          </cell>
          <cell r="EE17">
            <v>36859199</v>
          </cell>
          <cell r="EF17">
            <v>478558215</v>
          </cell>
        </row>
        <row r="18">
          <cell r="A18" t="str">
            <v>TOTAL</v>
          </cell>
          <cell r="B18">
            <v>508147</v>
          </cell>
          <cell r="C18">
            <v>9301621</v>
          </cell>
          <cell r="D18">
            <v>9809768</v>
          </cell>
          <cell r="E18" t="str">
            <v>TOTAL</v>
          </cell>
          <cell r="F18">
            <v>8170950</v>
          </cell>
          <cell r="G18">
            <v>54702731</v>
          </cell>
          <cell r="H18">
            <v>62873681</v>
          </cell>
          <cell r="I18" t="str">
            <v>TOTAL</v>
          </cell>
          <cell r="J18">
            <v>0</v>
          </cell>
          <cell r="K18">
            <v>51059</v>
          </cell>
          <cell r="L18">
            <v>51059</v>
          </cell>
          <cell r="M18" t="str">
            <v>TOTAL</v>
          </cell>
          <cell r="N18">
            <v>38728562</v>
          </cell>
          <cell r="O18">
            <v>70402651</v>
          </cell>
          <cell r="P18">
            <v>109131213</v>
          </cell>
          <cell r="Q18" t="str">
            <v>TOTAL</v>
          </cell>
          <cell r="R18">
            <v>1619660</v>
          </cell>
          <cell r="S18">
            <v>263087236</v>
          </cell>
          <cell r="T18">
            <v>264706896</v>
          </cell>
          <cell r="U18" t="str">
            <v>TOTAL</v>
          </cell>
          <cell r="V18">
            <v>592835</v>
          </cell>
          <cell r="W18">
            <v>4628537</v>
          </cell>
          <cell r="X18">
            <v>5221372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TOTAL</v>
          </cell>
          <cell r="AD18">
            <v>36181993</v>
          </cell>
          <cell r="AE18">
            <v>778917191</v>
          </cell>
          <cell r="AF18">
            <v>815099184</v>
          </cell>
          <cell r="AG18" t="str">
            <v>TOTAL</v>
          </cell>
          <cell r="AH18">
            <v>749879</v>
          </cell>
          <cell r="AI18">
            <v>4297609</v>
          </cell>
          <cell r="AJ18">
            <v>5047488</v>
          </cell>
          <cell r="AK18" t="str">
            <v>TOTAL</v>
          </cell>
          <cell r="AL18">
            <v>491556</v>
          </cell>
          <cell r="AM18">
            <v>8690428</v>
          </cell>
          <cell r="AN18">
            <v>9181984</v>
          </cell>
          <cell r="AO18" t="str">
            <v>TOTAL</v>
          </cell>
          <cell r="AP18">
            <v>2144970</v>
          </cell>
          <cell r="AQ18">
            <v>3970594</v>
          </cell>
          <cell r="AR18">
            <v>6115564</v>
          </cell>
          <cell r="AS18" t="str">
            <v>TOTAL</v>
          </cell>
          <cell r="AT18">
            <v>120193</v>
          </cell>
          <cell r="AU18">
            <v>523937</v>
          </cell>
          <cell r="AV18">
            <v>644130</v>
          </cell>
          <cell r="AW18" t="str">
            <v>TOTAL</v>
          </cell>
          <cell r="AX18">
            <v>3518</v>
          </cell>
          <cell r="AY18">
            <v>778524</v>
          </cell>
          <cell r="AZ18">
            <v>782042</v>
          </cell>
          <cell r="BA18" t="str">
            <v>TOTAL</v>
          </cell>
          <cell r="BB18">
            <v>8729399</v>
          </cell>
          <cell r="BC18">
            <v>14733461</v>
          </cell>
          <cell r="BD18">
            <v>23462860</v>
          </cell>
          <cell r="BE18" t="str">
            <v>TOTAL</v>
          </cell>
          <cell r="BF18">
            <v>2319188</v>
          </cell>
          <cell r="BG18">
            <v>66093971</v>
          </cell>
          <cell r="BH18">
            <v>68413159</v>
          </cell>
          <cell r="BK18" t="str">
            <v>FINAL</v>
          </cell>
          <cell r="BM18" t="str">
            <v>TOTAL</v>
          </cell>
          <cell r="BN18">
            <v>70866521</v>
          </cell>
          <cell r="BO18">
            <v>156108454</v>
          </cell>
          <cell r="BP18">
            <v>226974975</v>
          </cell>
          <cell r="BQ18" t="str">
            <v>TOTAL</v>
          </cell>
          <cell r="BR18">
            <v>1884177</v>
          </cell>
          <cell r="BS18">
            <v>795600</v>
          </cell>
          <cell r="BT18">
            <v>2679777</v>
          </cell>
          <cell r="BU18" t="str">
            <v>TOTAL</v>
          </cell>
          <cell r="BV18">
            <v>1054783</v>
          </cell>
          <cell r="BW18">
            <v>2625666</v>
          </cell>
          <cell r="BX18">
            <v>3680449</v>
          </cell>
          <cell r="BY18" t="str">
            <v>TOTAL</v>
          </cell>
          <cell r="BZ18">
            <v>2124097</v>
          </cell>
          <cell r="CA18">
            <v>23150171</v>
          </cell>
          <cell r="CB18">
            <v>25274268</v>
          </cell>
          <cell r="CC18" t="str">
            <v>TOTAL</v>
          </cell>
          <cell r="CD18">
            <v>94966</v>
          </cell>
          <cell r="CE18">
            <v>434886</v>
          </cell>
          <cell r="CF18">
            <v>529852</v>
          </cell>
          <cell r="CG18" t="str">
            <v>TOTAL</v>
          </cell>
          <cell r="CH18">
            <v>54009692</v>
          </cell>
          <cell r="CI18">
            <v>11203542</v>
          </cell>
          <cell r="CJ18">
            <v>65213234</v>
          </cell>
          <cell r="CK18" t="str">
            <v>TOTAL</v>
          </cell>
          <cell r="CL18">
            <v>334302</v>
          </cell>
          <cell r="CM18">
            <v>1145661</v>
          </cell>
          <cell r="CN18">
            <v>1479963</v>
          </cell>
          <cell r="CO18" t="str">
            <v>TOTAL</v>
          </cell>
          <cell r="CP18">
            <v>5559647</v>
          </cell>
          <cell r="CQ18">
            <v>95450477</v>
          </cell>
          <cell r="CR18">
            <v>101010124</v>
          </cell>
          <cell r="CS18" t="str">
            <v>TOTAL</v>
          </cell>
          <cell r="CT18">
            <v>23126941</v>
          </cell>
          <cell r="CU18">
            <v>862915997</v>
          </cell>
          <cell r="CV18">
            <v>886042938</v>
          </cell>
          <cell r="CW18" t="str">
            <v>TOTAL</v>
          </cell>
          <cell r="CX18">
            <v>4911925</v>
          </cell>
          <cell r="CY18">
            <v>118237303</v>
          </cell>
          <cell r="CZ18">
            <v>123149228</v>
          </cell>
          <cell r="DA18" t="str">
            <v>TOTAL</v>
          </cell>
          <cell r="DB18">
            <v>5849803</v>
          </cell>
          <cell r="DC18">
            <v>161767751</v>
          </cell>
          <cell r="DD18">
            <v>167617554</v>
          </cell>
          <cell r="DE18" t="str">
            <v>TOTAL</v>
          </cell>
          <cell r="DF18">
            <v>22676540</v>
          </cell>
          <cell r="DG18">
            <v>85658015</v>
          </cell>
          <cell r="DH18">
            <v>108334555</v>
          </cell>
          <cell r="DI18" t="str">
            <v>TOTAL</v>
          </cell>
          <cell r="DJ18">
            <v>5834041</v>
          </cell>
          <cell r="DK18">
            <v>39355262</v>
          </cell>
          <cell r="DL18">
            <v>45189303</v>
          </cell>
          <cell r="DM18" t="str">
            <v>TOTAL</v>
          </cell>
          <cell r="DN18">
            <v>3633477</v>
          </cell>
          <cell r="DO18">
            <v>300592781</v>
          </cell>
          <cell r="DP18">
            <v>304226258</v>
          </cell>
          <cell r="DQ18" t="str">
            <v>TOTAL</v>
          </cell>
          <cell r="DR18">
            <v>301617</v>
          </cell>
          <cell r="DS18">
            <v>995429</v>
          </cell>
          <cell r="DT18">
            <v>1297046</v>
          </cell>
          <cell r="DU18" t="str">
            <v>TOTAL</v>
          </cell>
          <cell r="DV18">
            <v>949525</v>
          </cell>
          <cell r="DW18">
            <v>1029035</v>
          </cell>
          <cell r="DX18">
            <v>1978560</v>
          </cell>
          <cell r="DY18" t="str">
            <v>TOTAL</v>
          </cell>
          <cell r="DZ18">
            <v>1029889</v>
          </cell>
          <cell r="EA18">
            <v>70872235</v>
          </cell>
          <cell r="EB18">
            <v>71902124</v>
          </cell>
          <cell r="ED18" t="str">
            <v>GUADALUPE</v>
          </cell>
          <cell r="EE18">
            <v>35150721</v>
          </cell>
          <cell r="EF18">
            <v>61477803</v>
          </cell>
        </row>
        <row r="19">
          <cell r="Y19" t="str">
            <v>GRAND TOTAL</v>
          </cell>
          <cell r="Z19">
            <v>25073519</v>
          </cell>
          <cell r="AA19">
            <v>22730075</v>
          </cell>
          <cell r="AB19">
            <v>47803594</v>
          </cell>
          <cell r="ED19" t="str">
            <v>HARDING</v>
          </cell>
          <cell r="EE19">
            <v>4828150</v>
          </cell>
          <cell r="EF19">
            <v>20680787</v>
          </cell>
        </row>
        <row r="20">
          <cell r="A20" t="str">
            <v>12-OUT NON-RES</v>
          </cell>
          <cell r="B20">
            <v>102154337</v>
          </cell>
          <cell r="C20">
            <v>420915478</v>
          </cell>
          <cell r="D20">
            <v>523069815</v>
          </cell>
          <cell r="E20" t="str">
            <v>2-A  NON-RES</v>
          </cell>
          <cell r="F20">
            <v>1091783</v>
          </cell>
          <cell r="G20">
            <v>2152066</v>
          </cell>
          <cell r="H20">
            <v>3243849</v>
          </cell>
          <cell r="I20" t="str">
            <v>6-IN  NON-RES</v>
          </cell>
          <cell r="J20">
            <v>432654</v>
          </cell>
          <cell r="K20">
            <v>667924</v>
          </cell>
          <cell r="L20">
            <v>1100578</v>
          </cell>
          <cell r="M20" t="str">
            <v>QM-03 NON-RES</v>
          </cell>
          <cell r="N20">
            <v>924537</v>
          </cell>
          <cell r="O20">
            <v>6798244</v>
          </cell>
          <cell r="P20">
            <v>7722781</v>
          </cell>
          <cell r="Q20" t="str">
            <v>3-OUT NON-RES</v>
          </cell>
          <cell r="R20">
            <v>11520757</v>
          </cell>
          <cell r="S20">
            <v>35326565</v>
          </cell>
          <cell r="T20">
            <v>46847322</v>
          </cell>
          <cell r="U20" t="str">
            <v>2-OUT  NON-RES</v>
          </cell>
          <cell r="V20">
            <v>6108627</v>
          </cell>
          <cell r="W20">
            <v>26291308</v>
          </cell>
          <cell r="X20">
            <v>32399935</v>
          </cell>
          <cell r="Y20" t="str">
            <v>=</v>
          </cell>
          <cell r="Z20" t="str">
            <v>=</v>
          </cell>
          <cell r="AA20" t="str">
            <v>=</v>
          </cell>
          <cell r="AB20" t="str">
            <v>=</v>
          </cell>
          <cell r="AC20" t="str">
            <v>11-IN NON-RES</v>
          </cell>
          <cell r="AD20">
            <v>1482117</v>
          </cell>
          <cell r="AE20">
            <v>5950879</v>
          </cell>
          <cell r="AF20">
            <v>7432996</v>
          </cell>
          <cell r="AG20" t="str">
            <v>10-OUT NON-RES</v>
          </cell>
          <cell r="AH20">
            <v>15132862</v>
          </cell>
          <cell r="AI20">
            <v>4034216</v>
          </cell>
          <cell r="AJ20">
            <v>19167078</v>
          </cell>
          <cell r="AK20" t="str">
            <v>2-B-IN  NON-RES</v>
          </cell>
          <cell r="AL20">
            <v>1189012</v>
          </cell>
          <cell r="AM20">
            <v>2642743</v>
          </cell>
          <cell r="AN20">
            <v>3831755</v>
          </cell>
          <cell r="AO20" t="str">
            <v>33-OUT NON-RES</v>
          </cell>
          <cell r="AP20">
            <v>13241172</v>
          </cell>
          <cell r="AQ20">
            <v>1811834</v>
          </cell>
          <cell r="AR20">
            <v>15053006</v>
          </cell>
          <cell r="AS20" t="str">
            <v>5-OUT NON-RES</v>
          </cell>
          <cell r="AT20">
            <v>3397711</v>
          </cell>
          <cell r="AU20">
            <v>12437820</v>
          </cell>
          <cell r="AV20">
            <v>15835531</v>
          </cell>
          <cell r="AW20" t="str">
            <v>1-A-OUT NON-RES</v>
          </cell>
          <cell r="AX20">
            <v>11768</v>
          </cell>
          <cell r="AY20">
            <v>1795957</v>
          </cell>
          <cell r="AZ20">
            <v>1807725</v>
          </cell>
          <cell r="BA20" t="str">
            <v>8-OUT NON-RES</v>
          </cell>
          <cell r="BB20">
            <v>41842207</v>
          </cell>
          <cell r="BC20">
            <v>8879388</v>
          </cell>
          <cell r="BD20">
            <v>50721595</v>
          </cell>
          <cell r="BE20" t="str">
            <v>7-IN  NON-RES</v>
          </cell>
          <cell r="BF20">
            <v>726403</v>
          </cell>
          <cell r="BG20">
            <v>2983057</v>
          </cell>
          <cell r="BH20">
            <v>3709460</v>
          </cell>
          <cell r="BM20" t="str">
            <v>TOTAL NON-RES</v>
          </cell>
          <cell r="BN20">
            <v>119100515</v>
          </cell>
          <cell r="BO20">
            <v>131415822</v>
          </cell>
          <cell r="BP20">
            <v>250516337</v>
          </cell>
          <cell r="BQ20" t="str">
            <v>TOTAL NON-RES</v>
          </cell>
          <cell r="BR20">
            <v>251806935</v>
          </cell>
          <cell r="BS20">
            <v>188265050</v>
          </cell>
          <cell r="BT20">
            <v>440071985</v>
          </cell>
          <cell r="BU20" t="str">
            <v>12-OUT NON-RES</v>
          </cell>
          <cell r="BV20">
            <v>6077665</v>
          </cell>
          <cell r="BW20">
            <v>3904266</v>
          </cell>
          <cell r="BX20">
            <v>9981931</v>
          </cell>
          <cell r="BY20" t="str">
            <v>4-OUT NON-RES</v>
          </cell>
          <cell r="BZ20">
            <v>10391744</v>
          </cell>
          <cell r="CA20">
            <v>10932197</v>
          </cell>
          <cell r="CB20">
            <v>21323941</v>
          </cell>
          <cell r="CC20" t="str">
            <v>19-OUT NON-RES</v>
          </cell>
          <cell r="CD20">
            <v>1027116</v>
          </cell>
          <cell r="CE20">
            <v>2521215</v>
          </cell>
          <cell r="CF20">
            <v>3548331</v>
          </cell>
          <cell r="CG20" t="str">
            <v>45-IN NON-RES</v>
          </cell>
          <cell r="CH20">
            <v>6385203</v>
          </cell>
          <cell r="CI20">
            <v>45555420</v>
          </cell>
          <cell r="CJ20">
            <v>51940623</v>
          </cell>
          <cell r="CK20" t="str">
            <v>2-OUT NON-RES</v>
          </cell>
          <cell r="CL20">
            <v>5640511</v>
          </cell>
          <cell r="CM20">
            <v>2778254</v>
          </cell>
          <cell r="CN20">
            <v>8418765</v>
          </cell>
          <cell r="CO20" t="str">
            <v>2-A-IN NON-RES</v>
          </cell>
          <cell r="CP20">
            <v>3061821</v>
          </cell>
          <cell r="CQ20">
            <v>46672454</v>
          </cell>
          <cell r="CR20">
            <v>49734275</v>
          </cell>
          <cell r="CS20" t="str">
            <v>5-OUT NON-RES</v>
          </cell>
          <cell r="CT20">
            <v>40872727</v>
          </cell>
          <cell r="CU20">
            <v>80863364</v>
          </cell>
          <cell r="CV20">
            <v>121736091</v>
          </cell>
          <cell r="CW20" t="str">
            <v>2-OUT NON-RES</v>
          </cell>
          <cell r="CX20">
            <v>5109971</v>
          </cell>
          <cell r="CY20">
            <v>17792898</v>
          </cell>
          <cell r="CZ20">
            <v>22902869</v>
          </cell>
          <cell r="DA20" t="str">
            <v>8-T  NON-RES</v>
          </cell>
          <cell r="DB20">
            <v>10012567</v>
          </cell>
          <cell r="DC20">
            <v>23730086</v>
          </cell>
          <cell r="DD20">
            <v>33742653</v>
          </cell>
          <cell r="DE20" t="str">
            <v>6-EB-IN NON-RES</v>
          </cell>
          <cell r="DF20">
            <v>1279936</v>
          </cell>
          <cell r="DG20">
            <v>19668867</v>
          </cell>
          <cell r="DH20">
            <v>20948803</v>
          </cell>
          <cell r="DI20" t="str">
            <v>7-L  NON-RES</v>
          </cell>
          <cell r="DJ20">
            <v>339183</v>
          </cell>
          <cell r="DK20">
            <v>81953</v>
          </cell>
          <cell r="DL20">
            <v>421136</v>
          </cell>
          <cell r="DM20" t="str">
            <v>4  NON-RES</v>
          </cell>
          <cell r="DN20">
            <v>1510133</v>
          </cell>
          <cell r="DO20">
            <v>5506554</v>
          </cell>
          <cell r="DP20">
            <v>7016687</v>
          </cell>
          <cell r="DQ20" t="str">
            <v>8-IN  NON-RES</v>
          </cell>
          <cell r="DR20">
            <v>5186152</v>
          </cell>
          <cell r="DS20">
            <v>15591339</v>
          </cell>
          <cell r="DT20">
            <v>20777491</v>
          </cell>
          <cell r="DU20" t="str">
            <v>22-F-IN  NON-RES</v>
          </cell>
          <cell r="DV20">
            <v>399330</v>
          </cell>
          <cell r="DW20">
            <v>122591</v>
          </cell>
          <cell r="DX20">
            <v>521921</v>
          </cell>
          <cell r="DY20" t="str">
            <v>LL-03 NON-RES</v>
          </cell>
          <cell r="DZ20">
            <v>0</v>
          </cell>
          <cell r="EA20">
            <v>8500</v>
          </cell>
          <cell r="EB20">
            <v>8500</v>
          </cell>
          <cell r="ED20" t="str">
            <v>HIDALGO</v>
          </cell>
          <cell r="EE20">
            <v>78832989</v>
          </cell>
          <cell r="EF20">
            <v>62510267</v>
          </cell>
        </row>
        <row r="21">
          <cell r="A21" t="str">
            <v>12-OUT RESIDENTIAL</v>
          </cell>
          <cell r="C21">
            <v>1558813096</v>
          </cell>
          <cell r="D21">
            <v>1558813096</v>
          </cell>
          <cell r="E21" t="str">
            <v>2-A  RESIDENTIAL</v>
          </cell>
          <cell r="G21">
            <v>3224662</v>
          </cell>
          <cell r="H21">
            <v>3224662</v>
          </cell>
          <cell r="I21" t="str">
            <v>6-IN  RESIDENTIAL</v>
          </cell>
          <cell r="K21">
            <v>3184000</v>
          </cell>
          <cell r="L21">
            <v>3184000</v>
          </cell>
          <cell r="M21" t="str">
            <v>QM-03 RESIDENTIAL</v>
          </cell>
          <cell r="O21">
            <v>1499791</v>
          </cell>
          <cell r="P21">
            <v>1499791</v>
          </cell>
          <cell r="Q21" t="str">
            <v>3-OUT RESIDENTIAL</v>
          </cell>
          <cell r="R21">
            <v>0</v>
          </cell>
          <cell r="S21">
            <v>45728201</v>
          </cell>
          <cell r="T21">
            <v>45728201</v>
          </cell>
          <cell r="U21" t="str">
            <v>2-OUT RESIDENTIAL</v>
          </cell>
          <cell r="W21">
            <v>6539991</v>
          </cell>
          <cell r="X21">
            <v>6539991</v>
          </cell>
          <cell r="Y21" t="str">
            <v>FILE:CAVAL08</v>
          </cell>
          <cell r="AA21" t="str">
            <v>TAX YEAR  08</v>
          </cell>
          <cell r="AC21" t="str">
            <v>11-IN RESIDENTIAL</v>
          </cell>
          <cell r="AE21">
            <v>5389186</v>
          </cell>
          <cell r="AF21">
            <v>5389186</v>
          </cell>
          <cell r="AG21" t="str">
            <v>10-OUT RESIDENTIAL</v>
          </cell>
          <cell r="AH21">
            <v>0</v>
          </cell>
          <cell r="AI21">
            <v>2867344</v>
          </cell>
          <cell r="AJ21">
            <v>2867344</v>
          </cell>
          <cell r="AK21" t="str">
            <v>2-B-IN  RESIDENTIAL</v>
          </cell>
          <cell r="AM21">
            <v>13249958</v>
          </cell>
          <cell r="AN21">
            <v>13249958</v>
          </cell>
          <cell r="AO21" t="str">
            <v>33-OUT RESIDENTIAL</v>
          </cell>
          <cell r="AQ21">
            <v>674409</v>
          </cell>
          <cell r="AR21">
            <v>674409</v>
          </cell>
          <cell r="AS21" t="str">
            <v>5-OUT RESIDENTIAL</v>
          </cell>
          <cell r="AT21">
            <v>0</v>
          </cell>
          <cell r="AU21">
            <v>1053960</v>
          </cell>
          <cell r="AV21">
            <v>1053960</v>
          </cell>
          <cell r="AW21" t="str">
            <v>1-A-OUT RESIDENTIAL</v>
          </cell>
          <cell r="AY21">
            <v>1240910</v>
          </cell>
          <cell r="AZ21">
            <v>1240910</v>
          </cell>
          <cell r="BA21" t="str">
            <v>8-OUT RESIDENTIAL</v>
          </cell>
          <cell r="BB21">
            <v>0</v>
          </cell>
          <cell r="BC21">
            <v>1574263</v>
          </cell>
          <cell r="BD21">
            <v>1574263</v>
          </cell>
          <cell r="BE21" t="str">
            <v>7-IN  RESIDENTIAL</v>
          </cell>
          <cell r="BG21">
            <v>5044916</v>
          </cell>
          <cell r="BH21">
            <v>5044916</v>
          </cell>
          <cell r="BM21" t="str">
            <v>TOTAL RESIDENTIAL</v>
          </cell>
          <cell r="BN21">
            <v>0</v>
          </cell>
          <cell r="BO21">
            <v>201901892</v>
          </cell>
          <cell r="BP21">
            <v>201901892</v>
          </cell>
          <cell r="BQ21" t="str">
            <v>TOTAL RESIDENTIAL</v>
          </cell>
          <cell r="BR21">
            <v>0</v>
          </cell>
          <cell r="BS21">
            <v>242836380</v>
          </cell>
          <cell r="BT21">
            <v>242836380</v>
          </cell>
          <cell r="BU21" t="str">
            <v>12-OUT RESIDENTIAL</v>
          </cell>
          <cell r="BW21">
            <v>1820059</v>
          </cell>
          <cell r="BX21">
            <v>1820059</v>
          </cell>
          <cell r="BY21" t="str">
            <v>4-OUT RESIDENTIAL</v>
          </cell>
          <cell r="BZ21">
            <v>0</v>
          </cell>
          <cell r="CA21">
            <v>21622531</v>
          </cell>
          <cell r="CB21">
            <v>21622531</v>
          </cell>
          <cell r="CC21" t="str">
            <v>19-OUT RESIDENTIAL</v>
          </cell>
          <cell r="CE21">
            <v>1263788</v>
          </cell>
          <cell r="CF21">
            <v>1263788</v>
          </cell>
          <cell r="CG21" t="str">
            <v>45-IN RESIDENTIAL</v>
          </cell>
          <cell r="CI21">
            <v>57289266</v>
          </cell>
          <cell r="CJ21">
            <v>57289266</v>
          </cell>
          <cell r="CK21" t="str">
            <v>2-OUT RESIDENTIAL</v>
          </cell>
          <cell r="CL21">
            <v>0</v>
          </cell>
          <cell r="CM21">
            <v>1509415</v>
          </cell>
          <cell r="CN21">
            <v>1509415</v>
          </cell>
          <cell r="CO21" t="str">
            <v>2-A-IN RESIDENTIAL</v>
          </cell>
          <cell r="CQ21">
            <v>260123432</v>
          </cell>
          <cell r="CR21">
            <v>260123432</v>
          </cell>
          <cell r="CS21" t="str">
            <v>5-OUT RESIDENTIAL</v>
          </cell>
          <cell r="CU21">
            <v>108043181</v>
          </cell>
          <cell r="CV21">
            <v>108043181</v>
          </cell>
          <cell r="CW21" t="str">
            <v>2-OUT RESIDENTIAL</v>
          </cell>
          <cell r="CX21">
            <v>0</v>
          </cell>
          <cell r="CY21">
            <v>60973792</v>
          </cell>
          <cell r="CZ21">
            <v>60973792</v>
          </cell>
          <cell r="DA21" t="str">
            <v>8-T  RESIDENTIAL</v>
          </cell>
          <cell r="DB21">
            <v>0</v>
          </cell>
          <cell r="DC21">
            <v>50148912</v>
          </cell>
          <cell r="DD21">
            <v>50148912</v>
          </cell>
          <cell r="DE21" t="str">
            <v>6-EB-IN RESIDENTIAL</v>
          </cell>
          <cell r="DG21">
            <v>31936841</v>
          </cell>
          <cell r="DH21">
            <v>31936841</v>
          </cell>
          <cell r="DI21" t="str">
            <v>7-L  RESIDENTIAL</v>
          </cell>
          <cell r="DK21">
            <v>201566</v>
          </cell>
          <cell r="DL21">
            <v>201566</v>
          </cell>
          <cell r="DM21" t="str">
            <v>4  RESIDENTIAL</v>
          </cell>
          <cell r="DO21">
            <v>30619964</v>
          </cell>
          <cell r="DP21">
            <v>30619964</v>
          </cell>
          <cell r="DQ21" t="str">
            <v>8-IN  RESIDENTIAL</v>
          </cell>
          <cell r="DR21">
            <v>0</v>
          </cell>
          <cell r="DS21">
            <v>15305655</v>
          </cell>
          <cell r="DT21">
            <v>15305655</v>
          </cell>
          <cell r="DU21" t="str">
            <v>22-F-IN  RESIDENTIAL</v>
          </cell>
          <cell r="DV21">
            <v>0</v>
          </cell>
          <cell r="DW21">
            <v>364161</v>
          </cell>
          <cell r="DX21">
            <v>364161</v>
          </cell>
          <cell r="DY21" t="str">
            <v>LL-03  RESIDENTIAL</v>
          </cell>
          <cell r="EA21">
            <v>11216790</v>
          </cell>
          <cell r="EB21">
            <v>11216790</v>
          </cell>
        </row>
        <row r="22">
          <cell r="A22" t="str">
            <v>TOTAL</v>
          </cell>
          <cell r="B22">
            <v>102154337</v>
          </cell>
          <cell r="C22">
            <v>1979728574</v>
          </cell>
          <cell r="D22">
            <v>2081882911</v>
          </cell>
          <cell r="E22" t="str">
            <v>TOTAL</v>
          </cell>
          <cell r="F22">
            <v>1091783</v>
          </cell>
          <cell r="G22">
            <v>5376728</v>
          </cell>
          <cell r="H22">
            <v>6468511</v>
          </cell>
          <cell r="I22" t="str">
            <v>TOTAL</v>
          </cell>
          <cell r="J22">
            <v>432654</v>
          </cell>
          <cell r="K22">
            <v>3851924</v>
          </cell>
          <cell r="L22">
            <v>4284578</v>
          </cell>
          <cell r="M22" t="str">
            <v>TOTAL</v>
          </cell>
          <cell r="N22">
            <v>924537</v>
          </cell>
          <cell r="O22">
            <v>8298035</v>
          </cell>
          <cell r="P22">
            <v>9222572</v>
          </cell>
          <cell r="Q22" t="str">
            <v>TOTAL</v>
          </cell>
          <cell r="R22">
            <v>11520757</v>
          </cell>
          <cell r="S22">
            <v>81054766</v>
          </cell>
          <cell r="T22">
            <v>92575523</v>
          </cell>
          <cell r="U22" t="str">
            <v>TOTAL</v>
          </cell>
          <cell r="V22">
            <v>6108627</v>
          </cell>
          <cell r="W22">
            <v>32831299</v>
          </cell>
          <cell r="X22">
            <v>38939926</v>
          </cell>
          <cell r="AA22" t="str">
            <v>FINAL</v>
          </cell>
          <cell r="AC22" t="str">
            <v>TOTAL</v>
          </cell>
          <cell r="AD22">
            <v>1482117</v>
          </cell>
          <cell r="AE22">
            <v>11340065</v>
          </cell>
          <cell r="AF22">
            <v>12822182</v>
          </cell>
          <cell r="AG22" t="str">
            <v>TOTAL</v>
          </cell>
          <cell r="AH22">
            <v>15132862</v>
          </cell>
          <cell r="AI22">
            <v>6901560</v>
          </cell>
          <cell r="AJ22">
            <v>22034422</v>
          </cell>
          <cell r="AK22" t="str">
            <v>TOTAL</v>
          </cell>
          <cell r="AL22">
            <v>1189012</v>
          </cell>
          <cell r="AM22">
            <v>15892701</v>
          </cell>
          <cell r="AN22">
            <v>17081713</v>
          </cell>
          <cell r="AO22" t="str">
            <v>TOTAL</v>
          </cell>
          <cell r="AP22">
            <v>13241172</v>
          </cell>
          <cell r="AQ22">
            <v>2486243</v>
          </cell>
          <cell r="AR22">
            <v>15727415</v>
          </cell>
          <cell r="AS22" t="str">
            <v>TOTAL</v>
          </cell>
          <cell r="AT22">
            <v>3397711</v>
          </cell>
          <cell r="AU22">
            <v>13491780</v>
          </cell>
          <cell r="AV22">
            <v>16889491</v>
          </cell>
          <cell r="AW22" t="str">
            <v>TOTAL</v>
          </cell>
          <cell r="AX22">
            <v>11768</v>
          </cell>
          <cell r="AY22">
            <v>3036867</v>
          </cell>
          <cell r="AZ22">
            <v>3048635</v>
          </cell>
          <cell r="BA22" t="str">
            <v>TOTAL</v>
          </cell>
          <cell r="BB22">
            <v>41842207</v>
          </cell>
          <cell r="BC22">
            <v>10453651</v>
          </cell>
          <cell r="BD22">
            <v>52295858</v>
          </cell>
          <cell r="BE22" t="str">
            <v>TOTAL</v>
          </cell>
          <cell r="BF22">
            <v>726403</v>
          </cell>
          <cell r="BG22">
            <v>8027973</v>
          </cell>
          <cell r="BH22">
            <v>8754376</v>
          </cell>
          <cell r="BM22" t="str">
            <v>-</v>
          </cell>
          <cell r="BN22" t="str">
            <v>-</v>
          </cell>
          <cell r="BO22" t="str">
            <v>-</v>
          </cell>
          <cell r="BP22" t="str">
            <v>-</v>
          </cell>
          <cell r="BQ22" t="str">
            <v>-</v>
          </cell>
          <cell r="BR22" t="str">
            <v>-</v>
          </cell>
          <cell r="BS22" t="str">
            <v>-</v>
          </cell>
          <cell r="BT22" t="str">
            <v>-</v>
          </cell>
          <cell r="BU22" t="str">
            <v>TOTAL</v>
          </cell>
          <cell r="BV22">
            <v>6077665</v>
          </cell>
          <cell r="BW22">
            <v>5724325</v>
          </cell>
          <cell r="BX22">
            <v>11801990</v>
          </cell>
          <cell r="BY22" t="str">
            <v>TOTAL</v>
          </cell>
          <cell r="BZ22">
            <v>10391744</v>
          </cell>
          <cell r="CA22">
            <v>32554728</v>
          </cell>
          <cell r="CB22">
            <v>42946472</v>
          </cell>
          <cell r="CC22" t="str">
            <v>TOTAL</v>
          </cell>
          <cell r="CD22">
            <v>1027116</v>
          </cell>
          <cell r="CE22">
            <v>3785003</v>
          </cell>
          <cell r="CF22">
            <v>4812119</v>
          </cell>
          <cell r="CG22" t="str">
            <v>TOTAL</v>
          </cell>
          <cell r="CH22">
            <v>6385203</v>
          </cell>
          <cell r="CI22">
            <v>102844686</v>
          </cell>
          <cell r="CJ22">
            <v>109229889</v>
          </cell>
          <cell r="CK22" t="str">
            <v>TOTAL</v>
          </cell>
          <cell r="CL22">
            <v>5640511</v>
          </cell>
          <cell r="CM22">
            <v>4287669</v>
          </cell>
          <cell r="CN22">
            <v>9928180</v>
          </cell>
          <cell r="CO22" t="str">
            <v>TOTAL</v>
          </cell>
          <cell r="CP22">
            <v>3061821</v>
          </cell>
          <cell r="CQ22">
            <v>306795886</v>
          </cell>
          <cell r="CR22">
            <v>309857707</v>
          </cell>
          <cell r="CS22" t="str">
            <v>TOTAL</v>
          </cell>
          <cell r="CT22">
            <v>40872727</v>
          </cell>
          <cell r="CU22">
            <v>188906545</v>
          </cell>
          <cell r="CV22">
            <v>229779272</v>
          </cell>
          <cell r="CW22" t="str">
            <v>TOTAL</v>
          </cell>
          <cell r="CX22">
            <v>5109971</v>
          </cell>
          <cell r="CY22">
            <v>78766690</v>
          </cell>
          <cell r="CZ22">
            <v>83876661</v>
          </cell>
          <cell r="DA22" t="str">
            <v>TOTAL</v>
          </cell>
          <cell r="DB22">
            <v>10012567</v>
          </cell>
          <cell r="DC22">
            <v>73878998</v>
          </cell>
          <cell r="DD22">
            <v>83891565</v>
          </cell>
          <cell r="DE22" t="str">
            <v>TOTAL</v>
          </cell>
          <cell r="DF22">
            <v>1279936</v>
          </cell>
          <cell r="DG22">
            <v>51605708</v>
          </cell>
          <cell r="DH22">
            <v>52885644</v>
          </cell>
          <cell r="DI22" t="str">
            <v>TOTAL</v>
          </cell>
          <cell r="DJ22">
            <v>339183</v>
          </cell>
          <cell r="DK22">
            <v>283519</v>
          </cell>
          <cell r="DL22">
            <v>622702</v>
          </cell>
          <cell r="DM22" t="str">
            <v>TOTAL</v>
          </cell>
          <cell r="DN22">
            <v>1510133</v>
          </cell>
          <cell r="DO22">
            <v>36126518</v>
          </cell>
          <cell r="DP22">
            <v>37636651</v>
          </cell>
          <cell r="DQ22" t="str">
            <v>TOTAL</v>
          </cell>
          <cell r="DR22">
            <v>5186152</v>
          </cell>
          <cell r="DS22">
            <v>30896994</v>
          </cell>
          <cell r="DT22">
            <v>36083146</v>
          </cell>
          <cell r="DU22" t="str">
            <v>TOTAL</v>
          </cell>
          <cell r="DV22">
            <v>399330</v>
          </cell>
          <cell r="DW22">
            <v>486752</v>
          </cell>
          <cell r="DX22">
            <v>886082</v>
          </cell>
          <cell r="DY22" t="str">
            <v>TOTAL</v>
          </cell>
          <cell r="DZ22">
            <v>0</v>
          </cell>
          <cell r="EA22">
            <v>11225290</v>
          </cell>
          <cell r="EB22">
            <v>11225290</v>
          </cell>
          <cell r="ED22" t="str">
            <v>LEA</v>
          </cell>
          <cell r="EE22">
            <v>234708617</v>
          </cell>
          <cell r="EF22">
            <v>556133495</v>
          </cell>
        </row>
        <row r="23"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AO23" t="str">
            <v>-</v>
          </cell>
          <cell r="AP23" t="str">
            <v>-</v>
          </cell>
          <cell r="AQ23" t="str">
            <v>-</v>
          </cell>
          <cell r="AR23" t="str">
            <v>-</v>
          </cell>
          <cell r="BM23" t="str">
            <v>GRAND TOTAL</v>
          </cell>
          <cell r="BN23">
            <v>119100515</v>
          </cell>
          <cell r="BO23">
            <v>333317714</v>
          </cell>
          <cell r="BP23">
            <v>452418229</v>
          </cell>
          <cell r="BQ23" t="str">
            <v>GRAND TOTAL</v>
          </cell>
          <cell r="BR23">
            <v>251806935</v>
          </cell>
          <cell r="BS23">
            <v>431101430</v>
          </cell>
          <cell r="BT23">
            <v>682908365</v>
          </cell>
          <cell r="DE23" t="str">
            <v>-</v>
          </cell>
          <cell r="DF23" t="str">
            <v>-</v>
          </cell>
          <cell r="DG23" t="str">
            <v>-</v>
          </cell>
          <cell r="DH23" t="str">
            <v>-</v>
          </cell>
          <cell r="ED23" t="str">
            <v>LINCOLN</v>
          </cell>
          <cell r="EE23">
            <v>55761446</v>
          </cell>
          <cell r="EF23">
            <v>833923441</v>
          </cell>
        </row>
        <row r="24">
          <cell r="A24" t="str">
            <v>2-A-IN NON-RES</v>
          </cell>
          <cell r="B24">
            <v>0</v>
          </cell>
          <cell r="C24">
            <v>0</v>
          </cell>
          <cell r="D24">
            <v>0</v>
          </cell>
          <cell r="E24" t="str">
            <v>TOTAL NON-RES</v>
          </cell>
          <cell r="F24">
            <v>17849048</v>
          </cell>
          <cell r="G24">
            <v>36399110</v>
          </cell>
          <cell r="H24">
            <v>54248158</v>
          </cell>
          <cell r="I24" t="str">
            <v>6-OUT NON-RES</v>
          </cell>
          <cell r="J24">
            <v>6062684</v>
          </cell>
          <cell r="K24">
            <v>10303470</v>
          </cell>
          <cell r="L24">
            <v>16366154</v>
          </cell>
          <cell r="M24" t="str">
            <v>TOTAL NON-RES</v>
          </cell>
          <cell r="N24">
            <v>47370224</v>
          </cell>
          <cell r="O24">
            <v>113905838</v>
          </cell>
          <cell r="P24">
            <v>161276062</v>
          </cell>
          <cell r="Q24" t="str">
            <v>11-IN NON-RES</v>
          </cell>
          <cell r="R24">
            <v>7123726</v>
          </cell>
          <cell r="S24">
            <v>26742984</v>
          </cell>
          <cell r="T24">
            <v>33866710</v>
          </cell>
          <cell r="U24" t="str">
            <v>12-IN  NON-RES</v>
          </cell>
          <cell r="V24">
            <v>644784</v>
          </cell>
          <cell r="W24">
            <v>1306317</v>
          </cell>
          <cell r="X24">
            <v>1951101</v>
          </cell>
          <cell r="AC24" t="str">
            <v>11-OUT NON-RES</v>
          </cell>
          <cell r="AD24">
            <v>7092712</v>
          </cell>
          <cell r="AE24">
            <v>29225117</v>
          </cell>
          <cell r="AF24">
            <v>36317829</v>
          </cell>
          <cell r="AG24" t="str">
            <v>16-IN NON-RES</v>
          </cell>
          <cell r="AH24">
            <v>99404172</v>
          </cell>
          <cell r="AI24">
            <v>50266148</v>
          </cell>
          <cell r="AJ24">
            <v>149670320</v>
          </cell>
          <cell r="AK24" t="str">
            <v>2-C-IN  NON-RES</v>
          </cell>
          <cell r="AL24">
            <v>458454</v>
          </cell>
          <cell r="AM24">
            <v>1662975</v>
          </cell>
          <cell r="AN24">
            <v>2121429</v>
          </cell>
          <cell r="AO24" t="str">
            <v>TOTAL NON-RES</v>
          </cell>
          <cell r="AP24">
            <v>35150721</v>
          </cell>
          <cell r="AQ24">
            <v>36652553</v>
          </cell>
          <cell r="AR24">
            <v>71803274</v>
          </cell>
          <cell r="AS24" t="str">
            <v>24/25 NON-RES</v>
          </cell>
          <cell r="AT24">
            <v>659082</v>
          </cell>
          <cell r="AU24">
            <v>478123</v>
          </cell>
          <cell r="AV24">
            <v>1137205</v>
          </cell>
          <cell r="AW24" t="str">
            <v>6-OUT NON-RES</v>
          </cell>
          <cell r="AX24">
            <v>7731399</v>
          </cell>
          <cell r="AY24">
            <v>18335448</v>
          </cell>
          <cell r="AZ24">
            <v>26066847</v>
          </cell>
          <cell r="BA24" t="str">
            <v>16-IN NON-RES</v>
          </cell>
          <cell r="BB24">
            <v>22001844</v>
          </cell>
          <cell r="BC24">
            <v>131713026</v>
          </cell>
          <cell r="BD24">
            <v>153714870</v>
          </cell>
          <cell r="BE24" t="str">
            <v>7-OUT NON-RES</v>
          </cell>
          <cell r="BF24">
            <v>12135802</v>
          </cell>
          <cell r="BG24">
            <v>9635254</v>
          </cell>
          <cell r="BH24">
            <v>21771056</v>
          </cell>
          <cell r="BM24" t="str">
            <v>=</v>
          </cell>
          <cell r="BN24" t="str">
            <v>=</v>
          </cell>
          <cell r="BO24" t="str">
            <v>=</v>
          </cell>
          <cell r="BP24" t="str">
            <v>=</v>
          </cell>
          <cell r="BQ24" t="str">
            <v>=</v>
          </cell>
          <cell r="BR24" t="str">
            <v>=</v>
          </cell>
          <cell r="BS24" t="str">
            <v>=</v>
          </cell>
          <cell r="BT24" t="str">
            <v>=</v>
          </cell>
          <cell r="BU24" t="str">
            <v>12-C NON-RES</v>
          </cell>
          <cell r="BV24">
            <v>1030317</v>
          </cell>
          <cell r="BW24">
            <v>693563</v>
          </cell>
          <cell r="BX24">
            <v>1723880</v>
          </cell>
          <cell r="BY24" t="str">
            <v>11-IN NON-RES</v>
          </cell>
          <cell r="BZ24">
            <v>2258151</v>
          </cell>
          <cell r="CA24">
            <v>7691602</v>
          </cell>
          <cell r="CB24">
            <v>9949753</v>
          </cell>
          <cell r="CC24" t="str">
            <v>32-IN NON-RES</v>
          </cell>
          <cell r="CD24">
            <v>536113</v>
          </cell>
          <cell r="CE24">
            <v>5071356</v>
          </cell>
          <cell r="CF24">
            <v>5607469</v>
          </cell>
          <cell r="CG24" t="str">
            <v>45-OUT NON-RES</v>
          </cell>
          <cell r="CH24">
            <v>9630774</v>
          </cell>
          <cell r="CI24">
            <v>39854746</v>
          </cell>
          <cell r="CJ24">
            <v>49485520</v>
          </cell>
          <cell r="CK24" t="str">
            <v>3 NON-RES</v>
          </cell>
          <cell r="CL24">
            <v>2115244</v>
          </cell>
          <cell r="CM24">
            <v>15334779</v>
          </cell>
          <cell r="CN24">
            <v>17450023</v>
          </cell>
          <cell r="CO24" t="str">
            <v>2-A-RR-OUT NON-RES</v>
          </cell>
          <cell r="CP24">
            <v>2633990</v>
          </cell>
          <cell r="CQ24">
            <v>29350835</v>
          </cell>
          <cell r="CR24">
            <v>31984825</v>
          </cell>
          <cell r="CS24" t="str">
            <v>6-IN NON-RES</v>
          </cell>
          <cell r="CT24">
            <v>5137329</v>
          </cell>
          <cell r="CU24">
            <v>30543951</v>
          </cell>
          <cell r="CV24">
            <v>35681280</v>
          </cell>
          <cell r="CW24" t="str">
            <v>21-IN NON-RES</v>
          </cell>
          <cell r="CX24">
            <v>983485</v>
          </cell>
          <cell r="CY24">
            <v>2236422</v>
          </cell>
          <cell r="CZ24">
            <v>3219907</v>
          </cell>
          <cell r="DA24" t="str">
            <v>OUT 8-T   NON-RES</v>
          </cell>
          <cell r="DB24">
            <v>5050018</v>
          </cell>
          <cell r="DC24">
            <v>28646088</v>
          </cell>
          <cell r="DD24">
            <v>33696106</v>
          </cell>
          <cell r="DE24" t="str">
            <v>TOTAL NON-RES</v>
          </cell>
          <cell r="DF24">
            <v>26304388</v>
          </cell>
          <cell r="DG24">
            <v>80328586</v>
          </cell>
          <cell r="DH24">
            <v>106632974</v>
          </cell>
          <cell r="DI24" t="str">
            <v>12-IN NON-RES</v>
          </cell>
          <cell r="DJ24">
            <v>634064</v>
          </cell>
          <cell r="DK24">
            <v>697267</v>
          </cell>
          <cell r="DL24">
            <v>1331331</v>
          </cell>
          <cell r="DM24" t="str">
            <v>6  NON-RES</v>
          </cell>
          <cell r="DN24">
            <v>4626779</v>
          </cell>
          <cell r="DO24">
            <v>17187518</v>
          </cell>
          <cell r="DP24">
            <v>21814297</v>
          </cell>
          <cell r="DQ24" t="str">
            <v>8-OUT NON-RES</v>
          </cell>
          <cell r="DR24">
            <v>18026753</v>
          </cell>
          <cell r="DS24">
            <v>23923433</v>
          </cell>
          <cell r="DT24">
            <v>41950186</v>
          </cell>
          <cell r="DU24" t="str">
            <v>22-G-IN  NON-RES</v>
          </cell>
          <cell r="DV24">
            <v>226478</v>
          </cell>
          <cell r="DW24">
            <v>23872</v>
          </cell>
          <cell r="DX24">
            <v>250350</v>
          </cell>
          <cell r="DY24" t="str">
            <v>BN-03 NON-RES</v>
          </cell>
          <cell r="DZ24">
            <v>0</v>
          </cell>
          <cell r="EA24">
            <v>76942</v>
          </cell>
          <cell r="EB24">
            <v>76942</v>
          </cell>
          <cell r="ED24" t="str">
            <v>LOS ALAMOS</v>
          </cell>
          <cell r="EE24">
            <v>8046650</v>
          </cell>
          <cell r="EF24">
            <v>727811940</v>
          </cell>
        </row>
        <row r="25">
          <cell r="A25" t="str">
            <v>2-A-IN RESIDENTIAL</v>
          </cell>
          <cell r="C25">
            <v>0</v>
          </cell>
          <cell r="D25">
            <v>0</v>
          </cell>
          <cell r="E25" t="str">
            <v>TOTAL RESIDENTIAL</v>
          </cell>
          <cell r="G25">
            <v>54441995</v>
          </cell>
          <cell r="H25">
            <v>54441995</v>
          </cell>
          <cell r="I25" t="str">
            <v>6-OUT RESIDENTIAL</v>
          </cell>
          <cell r="K25">
            <v>4215186</v>
          </cell>
          <cell r="L25">
            <v>4215186</v>
          </cell>
          <cell r="M25" t="str">
            <v>TOTAL RESIDENTIAL</v>
          </cell>
          <cell r="N25">
            <v>0</v>
          </cell>
          <cell r="O25">
            <v>91712861</v>
          </cell>
          <cell r="P25">
            <v>91712861</v>
          </cell>
          <cell r="Q25" t="str">
            <v>11-IN RESIDENTIAL</v>
          </cell>
          <cell r="S25">
            <v>56011787</v>
          </cell>
          <cell r="T25">
            <v>56011787</v>
          </cell>
          <cell r="U25" t="str">
            <v>12-IN  RESIDENTIAL</v>
          </cell>
          <cell r="W25">
            <v>3014496</v>
          </cell>
          <cell r="X25">
            <v>3014496</v>
          </cell>
          <cell r="AC25" t="str">
            <v>11-OUT RESIDENTIAL</v>
          </cell>
          <cell r="AE25">
            <v>18935712</v>
          </cell>
          <cell r="AF25">
            <v>18935712</v>
          </cell>
          <cell r="AG25" t="str">
            <v>16-IN RESIDENTIAL</v>
          </cell>
          <cell r="AI25">
            <v>76710988</v>
          </cell>
          <cell r="AJ25">
            <v>76710988</v>
          </cell>
          <cell r="AK25" t="str">
            <v>2-C-IN  RESIDENTIAL</v>
          </cell>
          <cell r="AM25">
            <v>9455049</v>
          </cell>
          <cell r="AN25">
            <v>9455049</v>
          </cell>
          <cell r="AO25" t="str">
            <v>TOTAL RESIDENTIAL</v>
          </cell>
          <cell r="AP25">
            <v>0</v>
          </cell>
          <cell r="AQ25">
            <v>24825250</v>
          </cell>
          <cell r="AR25">
            <v>24825250</v>
          </cell>
          <cell r="AS25" t="str">
            <v>24/25 RESIDENTIAL</v>
          </cell>
          <cell r="AT25">
            <v>0</v>
          </cell>
          <cell r="AU25">
            <v>411462</v>
          </cell>
          <cell r="AV25">
            <v>411462</v>
          </cell>
          <cell r="AW25" t="str">
            <v>6-OUT RESIDENTIAL</v>
          </cell>
          <cell r="AY25">
            <v>4150849</v>
          </cell>
          <cell r="AZ25">
            <v>4150849</v>
          </cell>
          <cell r="BA25" t="str">
            <v>16-IN RESIDENTIAL</v>
          </cell>
          <cell r="BB25">
            <v>0</v>
          </cell>
          <cell r="BC25">
            <v>176079720</v>
          </cell>
          <cell r="BD25">
            <v>176079720</v>
          </cell>
          <cell r="BE25" t="str">
            <v>7-OUT RESIDENTIAL</v>
          </cell>
          <cell r="BG25">
            <v>9027318</v>
          </cell>
          <cell r="BH25">
            <v>9027318</v>
          </cell>
          <cell r="BM25" t="str">
            <v>FILE:CAVAL08</v>
          </cell>
          <cell r="BO25" t="str">
            <v>TAX YEAR  08</v>
          </cell>
          <cell r="BQ25" t="str">
            <v>FILE:CAVAL08</v>
          </cell>
          <cell r="BS25" t="str">
            <v>TAX YEAR  08</v>
          </cell>
          <cell r="BU25" t="str">
            <v>12-C RESIDENTIAL</v>
          </cell>
          <cell r="BW25">
            <v>2322318</v>
          </cell>
          <cell r="BX25">
            <v>2322318</v>
          </cell>
          <cell r="BY25" t="str">
            <v>11-IN RESIDENTIAL</v>
          </cell>
          <cell r="BZ25">
            <v>0</v>
          </cell>
          <cell r="CA25">
            <v>28882501</v>
          </cell>
          <cell r="CB25">
            <v>28882501</v>
          </cell>
          <cell r="CC25" t="str">
            <v>32-IN RESIDENTIAL</v>
          </cell>
          <cell r="CE25">
            <v>11010166</v>
          </cell>
          <cell r="CF25">
            <v>11010166</v>
          </cell>
          <cell r="CG25" t="str">
            <v>45-OUT RESIDENTIAL</v>
          </cell>
          <cell r="CI25">
            <v>224098706</v>
          </cell>
          <cell r="CJ25">
            <v>224098706</v>
          </cell>
          <cell r="CK25" t="str">
            <v>3 RESIDENTIAL</v>
          </cell>
          <cell r="CL25">
            <v>0</v>
          </cell>
          <cell r="CM25">
            <v>1348331</v>
          </cell>
          <cell r="CN25">
            <v>1348331</v>
          </cell>
          <cell r="CO25" t="str">
            <v>2-A-RR-OUT RESIDENTIAL</v>
          </cell>
          <cell r="CQ25">
            <v>237957025</v>
          </cell>
          <cell r="CR25">
            <v>237957025</v>
          </cell>
          <cell r="CS25" t="str">
            <v>6-IN RESIDENTIAL</v>
          </cell>
          <cell r="CU25">
            <v>53353759</v>
          </cell>
          <cell r="CV25">
            <v>53353759</v>
          </cell>
          <cell r="CW25" t="str">
            <v>21-IN RESIDENTIAL</v>
          </cell>
          <cell r="CX25">
            <v>0</v>
          </cell>
          <cell r="CY25">
            <v>12830746</v>
          </cell>
          <cell r="CZ25">
            <v>12830746</v>
          </cell>
          <cell r="DA25" t="str">
            <v>OUT 8-T  RESIDENTIAL</v>
          </cell>
          <cell r="DB25">
            <v>0</v>
          </cell>
          <cell r="DC25">
            <v>98350132</v>
          </cell>
          <cell r="DD25">
            <v>98350132</v>
          </cell>
          <cell r="DE25" t="str">
            <v>TOTAL RESIDENTIAL</v>
          </cell>
          <cell r="DF25">
            <v>0</v>
          </cell>
          <cell r="DG25">
            <v>141257120</v>
          </cell>
          <cell r="DH25">
            <v>141257120</v>
          </cell>
          <cell r="DI25" t="str">
            <v>12-IN RESIDENTIAL</v>
          </cell>
          <cell r="DK25">
            <v>3291537</v>
          </cell>
          <cell r="DL25">
            <v>3291537</v>
          </cell>
          <cell r="DM25" t="str">
            <v>6  RESIDENTIAL</v>
          </cell>
          <cell r="DO25">
            <v>12885766</v>
          </cell>
          <cell r="DP25">
            <v>12885766</v>
          </cell>
          <cell r="DQ25" t="str">
            <v>8-OUT RESIDENTIAL</v>
          </cell>
          <cell r="DR25">
            <v>0</v>
          </cell>
          <cell r="DS25">
            <v>65664189</v>
          </cell>
          <cell r="DT25">
            <v>65664189</v>
          </cell>
          <cell r="DU25" t="str">
            <v>22-G-IN  RESIDENTIAL</v>
          </cell>
          <cell r="DV25">
            <v>0</v>
          </cell>
          <cell r="DW25">
            <v>88495</v>
          </cell>
          <cell r="DX25">
            <v>88495</v>
          </cell>
          <cell r="DY25" t="str">
            <v>BN-03 RESIDENTIAL</v>
          </cell>
          <cell r="EA25">
            <v>1247556</v>
          </cell>
          <cell r="EB25">
            <v>1247556</v>
          </cell>
          <cell r="ED25" t="str">
            <v>LUNA</v>
          </cell>
          <cell r="EE25">
            <v>119100515</v>
          </cell>
          <cell r="EF25">
            <v>333317714</v>
          </cell>
        </row>
        <row r="26">
          <cell r="A26" t="str">
            <v>TOTAL</v>
          </cell>
          <cell r="B26">
            <v>0</v>
          </cell>
          <cell r="C26">
            <v>0</v>
          </cell>
          <cell r="D26">
            <v>0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TOTAL</v>
          </cell>
          <cell r="J26">
            <v>6062684</v>
          </cell>
          <cell r="K26">
            <v>14518656</v>
          </cell>
          <cell r="L26">
            <v>20581340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TOTAL</v>
          </cell>
          <cell r="R26">
            <v>7123726</v>
          </cell>
          <cell r="S26">
            <v>82754771</v>
          </cell>
          <cell r="T26">
            <v>89878497</v>
          </cell>
          <cell r="U26" t="str">
            <v>TOTAL</v>
          </cell>
          <cell r="V26">
            <v>644784</v>
          </cell>
          <cell r="W2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X26">
            <v>644784</v>
          </cell>
          <cell r="AC26" t="str">
            <v>TOTAL</v>
          </cell>
          <cell r="AD26">
            <v>7092712</v>
          </cell>
          <cell r="AE26">
            <v>48160829</v>
          </cell>
          <cell r="AF26">
            <v>55253541</v>
          </cell>
          <cell r="AG26" t="str">
            <v>TOTAL</v>
          </cell>
          <cell r="AH26">
            <v>99404172</v>
          </cell>
          <cell r="AI26">
            <v>126977136</v>
          </cell>
          <cell r="AJ26">
            <v>226381308</v>
          </cell>
          <cell r="AK26" t="str">
            <v>TOTAL</v>
          </cell>
          <cell r="AL26">
            <v>458454</v>
          </cell>
          <cell r="AM26">
            <v>11118024</v>
          </cell>
          <cell r="AN26">
            <v>11576478</v>
          </cell>
          <cell r="AO26" t="str">
            <v>-</v>
          </cell>
          <cell r="AP26" t="str">
            <v>-</v>
          </cell>
          <cell r="AQ26" t="str">
            <v>-</v>
          </cell>
          <cell r="AR26" t="str">
            <v>-</v>
          </cell>
          <cell r="AS26" t="str">
            <v>TOTAL</v>
          </cell>
          <cell r="AT26">
            <v>659082</v>
          </cell>
          <cell r="AU26">
            <v>889585</v>
          </cell>
          <cell r="AV26">
            <v>1548667</v>
          </cell>
          <cell r="AW26" t="str">
            <v>TOTAL</v>
          </cell>
          <cell r="AX26">
            <v>7731399</v>
          </cell>
          <cell r="AY26">
            <v>22486297</v>
          </cell>
          <cell r="AZ26">
            <v>30217696</v>
          </cell>
          <cell r="BA26" t="str">
            <v>TOTAL</v>
          </cell>
          <cell r="BB26">
            <v>22001844</v>
          </cell>
          <cell r="BC26">
            <v>307792746</v>
          </cell>
          <cell r="BD26">
            <v>329794590</v>
          </cell>
          <cell r="BE26" t="str">
            <v>TOTAL</v>
          </cell>
          <cell r="BF26">
            <v>12135802</v>
          </cell>
          <cell r="BG26">
            <v>18662572</v>
          </cell>
          <cell r="BH26">
            <v>30798374</v>
          </cell>
          <cell r="BO26" t="str">
            <v>FINAL</v>
          </cell>
          <cell r="BS26" t="str">
            <v>FINAL</v>
          </cell>
          <cell r="BU26" t="str">
            <v>TOTAL</v>
          </cell>
          <cell r="BV26">
            <v>1030317</v>
          </cell>
          <cell r="BW26">
            <v>3015881</v>
          </cell>
          <cell r="BX26">
            <v>4046198</v>
          </cell>
          <cell r="BY26" t="str">
            <v>TOTAL</v>
          </cell>
          <cell r="BZ26">
            <v>2258151</v>
          </cell>
          <cell r="CA26">
            <v>36574103</v>
          </cell>
          <cell r="CB26">
            <v>38832254</v>
          </cell>
          <cell r="CC26" t="str">
            <v>TOTAL</v>
          </cell>
          <cell r="CD26">
            <v>536113</v>
          </cell>
          <cell r="CE26">
            <v>16081522</v>
          </cell>
          <cell r="CF26">
            <v>16617635</v>
          </cell>
          <cell r="CG26" t="str">
            <v>TOTAL</v>
          </cell>
          <cell r="CH26">
            <v>9630774</v>
          </cell>
          <cell r="CI26">
            <v>263953452</v>
          </cell>
          <cell r="CJ26">
            <v>273584226</v>
          </cell>
          <cell r="CK26" t="str">
            <v>TOTAL</v>
          </cell>
          <cell r="CL26">
            <v>2115244</v>
          </cell>
          <cell r="CM26">
            <v>16683110</v>
          </cell>
          <cell r="CN26">
            <v>18798354</v>
          </cell>
          <cell r="CO26" t="str">
            <v>TOTAL</v>
          </cell>
          <cell r="CP26">
            <v>2633990</v>
          </cell>
          <cell r="CQ26">
            <v>267307860</v>
          </cell>
          <cell r="CR26">
            <v>269941850</v>
          </cell>
          <cell r="CS26" t="str">
            <v>TOTAL</v>
          </cell>
          <cell r="CT26">
            <v>5137329</v>
          </cell>
          <cell r="CU26">
            <v>83897710</v>
          </cell>
          <cell r="CV26">
            <v>89035039</v>
          </cell>
          <cell r="CW26" t="str">
            <v>TOTAL</v>
          </cell>
          <cell r="CX26">
            <v>983485</v>
          </cell>
          <cell r="CY26">
            <v>15067168</v>
          </cell>
          <cell r="CZ26">
            <v>16050653</v>
          </cell>
          <cell r="DA26" t="str">
            <v>TOTAL</v>
          </cell>
          <cell r="DB26">
            <v>5050018</v>
          </cell>
          <cell r="DC26">
            <v>126996220</v>
          </cell>
          <cell r="DD26">
            <v>132046238</v>
          </cell>
          <cell r="DE26" t="str">
            <v>-</v>
          </cell>
          <cell r="DF26" t="str">
            <v>-</v>
          </cell>
          <cell r="DG26" t="str">
            <v>-</v>
          </cell>
          <cell r="DH26" t="str">
            <v>-</v>
          </cell>
          <cell r="DI26" t="str">
            <v>TOTAL</v>
          </cell>
          <cell r="DJ26">
            <v>634064</v>
          </cell>
          <cell r="DK26">
            <v>3988804</v>
          </cell>
          <cell r="DL26">
            <v>4622868</v>
          </cell>
          <cell r="DM26" t="str">
            <v>TOTAL</v>
          </cell>
          <cell r="DN26">
            <v>4626779</v>
          </cell>
          <cell r="DO26">
            <v>30073284</v>
          </cell>
          <cell r="DP26">
            <v>34700063</v>
          </cell>
          <cell r="DQ26" t="str">
            <v>TOTAL</v>
          </cell>
          <cell r="DR26">
            <v>18026753</v>
          </cell>
          <cell r="DS26">
            <v>89587622</v>
          </cell>
          <cell r="DT26">
            <v>107614375</v>
          </cell>
          <cell r="DU26" t="str">
            <v>TOTAL</v>
          </cell>
          <cell r="DV26">
            <v>226478</v>
          </cell>
          <cell r="DW26">
            <v>112367</v>
          </cell>
          <cell r="DX26">
            <v>338845</v>
          </cell>
          <cell r="DY26" t="str">
            <v>TOTAL</v>
          </cell>
          <cell r="DZ26">
            <v>0</v>
          </cell>
          <cell r="EA26">
            <v>1324498</v>
          </cell>
          <cell r="EB26">
            <v>1324498</v>
          </cell>
        </row>
        <row r="27">
          <cell r="E27" t="str">
            <v>GRAND TOTAL</v>
          </cell>
          <cell r="F27">
            <v>17849048</v>
          </cell>
          <cell r="G27">
            <v>90841105</v>
          </cell>
          <cell r="H27">
            <v>108690153</v>
          </cell>
          <cell r="M27" t="str">
            <v>GRAND TOTAL</v>
          </cell>
          <cell r="N27">
            <v>47370224</v>
          </cell>
          <cell r="O27">
            <v>205618699</v>
          </cell>
          <cell r="P27">
            <v>252988923</v>
          </cell>
          <cell r="AO27" t="str">
            <v>GRAND TOTAL</v>
          </cell>
          <cell r="AP27">
            <v>35150721</v>
          </cell>
          <cell r="AQ27">
            <v>61477803</v>
          </cell>
          <cell r="AR27">
            <v>96628524</v>
          </cell>
          <cell r="AS27" t="str">
            <v>-</v>
          </cell>
          <cell r="AT27" t="str">
            <v>-</v>
          </cell>
          <cell r="AU27" t="str">
            <v>-</v>
          </cell>
          <cell r="AV27" t="str">
            <v>-</v>
          </cell>
          <cell r="AW27" t="str">
            <v>-</v>
          </cell>
          <cell r="AX27" t="str">
            <v>-</v>
          </cell>
          <cell r="AY27" t="str">
            <v>-</v>
          </cell>
          <cell r="AZ27" t="str">
            <v>-</v>
          </cell>
          <cell r="BU27" t="str">
            <v>-</v>
          </cell>
          <cell r="BV27" t="str">
            <v>-</v>
          </cell>
          <cell r="BW27" t="str">
            <v>-</v>
          </cell>
          <cell r="BX27" t="str">
            <v>-</v>
          </cell>
          <cell r="DE27" t="str">
            <v>GRAND TOTAL</v>
          </cell>
          <cell r="DF27">
            <v>26304388</v>
          </cell>
          <cell r="DG27">
            <v>221585706</v>
          </cell>
          <cell r="DH27">
            <v>247890094</v>
          </cell>
          <cell r="ED27" t="str">
            <v>MCKINLEY</v>
          </cell>
          <cell r="EE27">
            <v>251806935</v>
          </cell>
          <cell r="EF27">
            <v>431101430</v>
          </cell>
        </row>
        <row r="28">
          <cell r="A28" t="str">
            <v>8-T NON-RES</v>
          </cell>
          <cell r="B28">
            <v>115848</v>
          </cell>
          <cell r="C28">
            <v>0</v>
          </cell>
          <cell r="D28">
            <v>115848</v>
          </cell>
          <cell r="E28" t="str">
            <v>=</v>
          </cell>
          <cell r="F28" t="str">
            <v>=</v>
          </cell>
          <cell r="G28" t="str">
            <v>=</v>
          </cell>
          <cell r="H28" t="str">
            <v>=</v>
          </cell>
          <cell r="I28" t="str">
            <v>8-IN NON-RES</v>
          </cell>
          <cell r="J28">
            <v>758658</v>
          </cell>
          <cell r="K28">
            <v>1071387</v>
          </cell>
          <cell r="L28">
            <v>1830045</v>
          </cell>
          <cell r="M28" t="str">
            <v>=</v>
          </cell>
          <cell r="N28" t="str">
            <v>=</v>
          </cell>
          <cell r="O28" t="str">
            <v>=</v>
          </cell>
          <cell r="P28" t="str">
            <v>=</v>
          </cell>
          <cell r="Q28" t="str">
            <v>11-OUT NON-RES</v>
          </cell>
          <cell r="R28">
            <v>7780888</v>
          </cell>
          <cell r="S28">
            <v>11368025</v>
          </cell>
          <cell r="T28">
            <v>19148913</v>
          </cell>
          <cell r="U28" t="str">
            <v>12-OUT  NON-RES</v>
          </cell>
          <cell r="V28">
            <v>5643838</v>
          </cell>
          <cell r="W28">
            <v>3449411</v>
          </cell>
          <cell r="X28">
            <v>9093249</v>
          </cell>
          <cell r="AC28" t="str">
            <v>16-IN NON-RES</v>
          </cell>
          <cell r="AD28">
            <v>15549476</v>
          </cell>
          <cell r="AE28">
            <v>54695519</v>
          </cell>
          <cell r="AF28">
            <v>70244995</v>
          </cell>
          <cell r="AG28" t="str">
            <v>16-OUT NON-RES</v>
          </cell>
          <cell r="AH28">
            <v>93014459</v>
          </cell>
          <cell r="AI28">
            <v>46441428</v>
          </cell>
          <cell r="AJ28">
            <v>139455887</v>
          </cell>
          <cell r="AK28" t="str">
            <v>2-OUT NON-RES</v>
          </cell>
          <cell r="AL28">
            <v>4827711</v>
          </cell>
          <cell r="AM28">
            <v>13564725</v>
          </cell>
          <cell r="AN28">
            <v>18392436</v>
          </cell>
          <cell r="AO28" t="str">
            <v>=</v>
          </cell>
          <cell r="AP28" t="str">
            <v>=</v>
          </cell>
          <cell r="AQ28" t="str">
            <v>=</v>
          </cell>
          <cell r="AR28" t="str">
            <v>=</v>
          </cell>
          <cell r="AS28" t="str">
            <v>TOTAL NON-RES</v>
          </cell>
          <cell r="AT28">
            <v>4828150</v>
          </cell>
          <cell r="AU28">
            <v>16133197</v>
          </cell>
          <cell r="AV28">
            <v>20961347</v>
          </cell>
          <cell r="AW28" t="str">
            <v>TOTAL NON-RES</v>
          </cell>
          <cell r="AX28">
            <v>78832989</v>
          </cell>
          <cell r="AY28">
            <v>45557198</v>
          </cell>
          <cell r="AZ28">
            <v>124390187</v>
          </cell>
          <cell r="BA28" t="str">
            <v>16-OUT NON-RES</v>
          </cell>
          <cell r="BB28">
            <v>65478149</v>
          </cell>
          <cell r="BC28">
            <v>32073667</v>
          </cell>
          <cell r="BD28">
            <v>97551816</v>
          </cell>
          <cell r="BE28" t="str">
            <v>13-IN NON-RES</v>
          </cell>
          <cell r="BF28">
            <v>687400</v>
          </cell>
          <cell r="BG28">
            <v>332984</v>
          </cell>
          <cell r="BH28">
            <v>1020384</v>
          </cell>
          <cell r="BU28" t="str">
            <v>TOTAL NON-RES</v>
          </cell>
          <cell r="BV28">
            <v>11758410</v>
          </cell>
          <cell r="BW28">
            <v>24522376</v>
          </cell>
          <cell r="BX28">
            <v>36280786</v>
          </cell>
          <cell r="BY28" t="str">
            <v>11-OUT NON-RES</v>
          </cell>
          <cell r="BZ28">
            <v>8258897</v>
          </cell>
          <cell r="CA28">
            <v>26037381</v>
          </cell>
          <cell r="CB28">
            <v>34296278</v>
          </cell>
          <cell r="CC28" t="str">
            <v>32-OUT NON-RES</v>
          </cell>
          <cell r="CD28">
            <v>5218935</v>
          </cell>
          <cell r="CE28">
            <v>1337241</v>
          </cell>
          <cell r="CF28">
            <v>6556176</v>
          </cell>
          <cell r="CG28" t="str">
            <v>53  NON-RES</v>
          </cell>
          <cell r="CH28">
            <v>32201607</v>
          </cell>
          <cell r="CI28">
            <v>11881646</v>
          </cell>
          <cell r="CJ28">
            <v>44083253</v>
          </cell>
          <cell r="CK28" t="str">
            <v>5-IN NON-RES</v>
          </cell>
          <cell r="CL28">
            <v>60858</v>
          </cell>
          <cell r="CM28">
            <v>116299</v>
          </cell>
          <cell r="CN28">
            <v>177157</v>
          </cell>
          <cell r="CO28" t="str">
            <v>31-RR NON-RES</v>
          </cell>
          <cell r="CP28">
            <v>0</v>
          </cell>
          <cell r="CQ28">
            <v>0</v>
          </cell>
          <cell r="CR28">
            <v>0</v>
          </cell>
          <cell r="CS28" t="str">
            <v>6-OUT NON-RES</v>
          </cell>
          <cell r="CT28">
            <v>225005228</v>
          </cell>
          <cell r="CU28">
            <v>38122202</v>
          </cell>
          <cell r="CV28">
            <v>263127430</v>
          </cell>
          <cell r="CW28" t="str">
            <v>21-OUT NON-RES</v>
          </cell>
          <cell r="CX28">
            <v>3846129</v>
          </cell>
          <cell r="CY28">
            <v>18188030</v>
          </cell>
          <cell r="CZ28">
            <v>22034159</v>
          </cell>
          <cell r="DA28" t="str">
            <v>18-IN NON-RES</v>
          </cell>
          <cell r="DB28">
            <v>965065</v>
          </cell>
          <cell r="DC28">
            <v>12777695</v>
          </cell>
          <cell r="DD28">
            <v>13742760</v>
          </cell>
          <cell r="DE28" t="str">
            <v>=</v>
          </cell>
          <cell r="DF28" t="str">
            <v>=</v>
          </cell>
          <cell r="DG28" t="str">
            <v>=</v>
          </cell>
          <cell r="DH28" t="str">
            <v>=</v>
          </cell>
          <cell r="DI28" t="str">
            <v>12-OUT NON-RES</v>
          </cell>
          <cell r="DJ28">
            <v>2971318</v>
          </cell>
          <cell r="DK28">
            <v>6666352</v>
          </cell>
          <cell r="DL28">
            <v>9637670</v>
          </cell>
          <cell r="DM28" t="str">
            <v>9-IN NON-RES</v>
          </cell>
          <cell r="DN28">
            <v>1268969</v>
          </cell>
          <cell r="DO28">
            <v>5522528</v>
          </cell>
          <cell r="DP28">
            <v>6791497</v>
          </cell>
          <cell r="DQ28" t="str">
            <v>13-IN NON-RES</v>
          </cell>
          <cell r="DR28">
            <v>1051221</v>
          </cell>
          <cell r="DS28">
            <v>2085765</v>
          </cell>
          <cell r="DT28">
            <v>3136986</v>
          </cell>
          <cell r="DU28" t="str">
            <v>22-OUT NON-RES</v>
          </cell>
          <cell r="DV28">
            <v>9738108</v>
          </cell>
          <cell r="DW28">
            <v>5334388</v>
          </cell>
          <cell r="DX28">
            <v>15072496</v>
          </cell>
          <cell r="DY28" t="str">
            <v>2-IN  NON-RES</v>
          </cell>
          <cell r="DZ28">
            <v>9307364</v>
          </cell>
          <cell r="EA28">
            <v>32223499</v>
          </cell>
          <cell r="EB28">
            <v>41530863</v>
          </cell>
          <cell r="ED28" t="str">
            <v>MORA</v>
          </cell>
          <cell r="EE28">
            <v>11758410</v>
          </cell>
          <cell r="EF28">
            <v>73953216</v>
          </cell>
        </row>
        <row r="29">
          <cell r="A29" t="str">
            <v>8-T RESIDENTIAL</v>
          </cell>
          <cell r="C29">
            <v>0</v>
          </cell>
          <cell r="D29">
            <v>0</v>
          </cell>
          <cell r="E29" t="str">
            <v>FILE:CAVAL08</v>
          </cell>
          <cell r="G29" t="str">
            <v>TOTAL 2008</v>
          </cell>
          <cell r="I29" t="str">
            <v>8-IN RESIDENTIAL</v>
          </cell>
          <cell r="K29">
            <v>5027474</v>
          </cell>
          <cell r="L29">
            <v>5027474</v>
          </cell>
          <cell r="M29" t="str">
            <v>FILE:CAVAL08</v>
          </cell>
          <cell r="O29" t="str">
            <v>TAX YEAR  08</v>
          </cell>
          <cell r="Q29" t="str">
            <v>11-OUT RESIDENTIAL</v>
          </cell>
          <cell r="S29">
            <v>21548309</v>
          </cell>
          <cell r="T29">
            <v>21548309</v>
          </cell>
          <cell r="U29" t="str">
            <v>12-OUT RESIDENTIAL</v>
          </cell>
          <cell r="W29">
            <v>2663016</v>
          </cell>
          <cell r="X29">
            <v>2663016</v>
          </cell>
          <cell r="AC29" t="str">
            <v>16-IN RESIDENTIAL</v>
          </cell>
          <cell r="AE29">
            <v>71129982</v>
          </cell>
          <cell r="AF29">
            <v>71129982</v>
          </cell>
          <cell r="AG29" t="str">
            <v>16-OUT RESIDENTIAL</v>
          </cell>
          <cell r="AH29">
            <v>0</v>
          </cell>
          <cell r="AI29">
            <v>42805902</v>
          </cell>
          <cell r="AJ29">
            <v>42805902</v>
          </cell>
          <cell r="AK29" t="str">
            <v>2-OUT RESIDENTIAL</v>
          </cell>
          <cell r="AM29">
            <v>30363787</v>
          </cell>
          <cell r="AN29">
            <v>30363787</v>
          </cell>
          <cell r="AO29" t="str">
            <v>FILE:CAVAL08</v>
          </cell>
          <cell r="AQ29" t="str">
            <v>TAX YEAR  08</v>
          </cell>
          <cell r="AS29" t="str">
            <v>TOTAL RESIDENTIAL</v>
          </cell>
          <cell r="AT29">
            <v>0</v>
          </cell>
          <cell r="AU29">
            <v>4547590</v>
          </cell>
          <cell r="AV29">
            <v>4547590</v>
          </cell>
          <cell r="AW29" t="str">
            <v>TOTAL RESIDENTIAL</v>
          </cell>
          <cell r="AX29">
            <v>0</v>
          </cell>
          <cell r="AY29">
            <v>16953069</v>
          </cell>
          <cell r="AZ29">
            <v>16953069</v>
          </cell>
          <cell r="BA29" t="str">
            <v>16-OUT RESIDENTIAL</v>
          </cell>
          <cell r="BB29">
            <v>0</v>
          </cell>
          <cell r="BC29">
            <v>59182326</v>
          </cell>
          <cell r="BD29">
            <v>59182326</v>
          </cell>
          <cell r="BE29" t="str">
            <v>13-IN RESIDENTIAL</v>
          </cell>
          <cell r="BG29">
            <v>1001243</v>
          </cell>
          <cell r="BH29">
            <v>1001243</v>
          </cell>
          <cell r="BU29" t="str">
            <v>TOTAL RESIDENTIAL</v>
          </cell>
          <cell r="BV29">
            <v>0</v>
          </cell>
          <cell r="BW29">
            <v>49430840</v>
          </cell>
          <cell r="BX29">
            <v>49430840</v>
          </cell>
          <cell r="BY29" t="str">
            <v>11-OUT RESIDENTIAL</v>
          </cell>
          <cell r="BZ29">
            <v>0</v>
          </cell>
          <cell r="CA29">
            <v>64472477</v>
          </cell>
          <cell r="CB29">
            <v>64472477</v>
          </cell>
          <cell r="CC29" t="str">
            <v>32-OUT RESIDENTIAL</v>
          </cell>
          <cell r="CE29">
            <v>15965475</v>
          </cell>
          <cell r="CF29">
            <v>15965475</v>
          </cell>
          <cell r="CG29" t="str">
            <v>53  RESIDENTIAL</v>
          </cell>
          <cell r="CI29">
            <v>16705474</v>
          </cell>
          <cell r="CJ29">
            <v>16705474</v>
          </cell>
          <cell r="CK29" t="str">
            <v>5-IN RESIDENTIAL</v>
          </cell>
          <cell r="CL29">
            <v>0</v>
          </cell>
          <cell r="CM29">
            <v>373081</v>
          </cell>
          <cell r="CN29">
            <v>373081</v>
          </cell>
          <cell r="CO29" t="str">
            <v>31-RR RESIDENTIAL</v>
          </cell>
          <cell r="CQ29">
            <v>0</v>
          </cell>
          <cell r="CR29">
            <v>0</v>
          </cell>
          <cell r="CS29" t="str">
            <v>6-OUT RESIDENTIAL</v>
          </cell>
          <cell r="CU29">
            <v>61127549</v>
          </cell>
          <cell r="CV29">
            <v>61127549</v>
          </cell>
          <cell r="CW29" t="str">
            <v>21-OUT RESIDENTIAL</v>
          </cell>
          <cell r="CX29">
            <v>0</v>
          </cell>
          <cell r="CY29">
            <v>55271488</v>
          </cell>
          <cell r="CZ29">
            <v>55271488</v>
          </cell>
          <cell r="DA29" t="str">
            <v>18-IN RESIDENTIAL</v>
          </cell>
          <cell r="DB29">
            <v>0</v>
          </cell>
          <cell r="DC29">
            <v>30014884</v>
          </cell>
          <cell r="DD29">
            <v>30014884</v>
          </cell>
          <cell r="DE29" t="str">
            <v>FILE:CAVAL08</v>
          </cell>
          <cell r="DG29" t="str">
            <v>TAX YEAR  08</v>
          </cell>
          <cell r="DI29" t="str">
            <v>12-OUT RESIDENTIAL</v>
          </cell>
          <cell r="DK29">
            <v>7368105</v>
          </cell>
          <cell r="DL29">
            <v>7368105</v>
          </cell>
          <cell r="DM29" t="str">
            <v>9-IN RESIDENTIAL</v>
          </cell>
          <cell r="DO29">
            <v>15281832</v>
          </cell>
          <cell r="DP29">
            <v>15281832</v>
          </cell>
          <cell r="DQ29" t="str">
            <v>13-IN RESIDENTIAL</v>
          </cell>
          <cell r="DR29">
            <v>0</v>
          </cell>
          <cell r="DS29">
            <v>4621229</v>
          </cell>
          <cell r="DT29">
            <v>4621229</v>
          </cell>
          <cell r="DU29" t="str">
            <v>22-OUT RESIDENTIAL</v>
          </cell>
          <cell r="DV29">
            <v>0</v>
          </cell>
          <cell r="DW29">
            <v>3236802</v>
          </cell>
          <cell r="DX29">
            <v>3236802</v>
          </cell>
          <cell r="DY29" t="str">
            <v>2-IN  RESIDENTIAL</v>
          </cell>
          <cell r="EA29">
            <v>54911457</v>
          </cell>
          <cell r="EB29">
            <v>54911457</v>
          </cell>
          <cell r="ED29" t="str">
            <v>OTERO</v>
          </cell>
          <cell r="EE29">
            <v>62818073</v>
          </cell>
          <cell r="EF29">
            <v>765464333</v>
          </cell>
        </row>
        <row r="30">
          <cell r="A30" t="str">
            <v>TOTAL</v>
          </cell>
          <cell r="B30">
            <v>115848</v>
          </cell>
          <cell r="C30">
            <v>0</v>
          </cell>
          <cell r="D30">
            <v>115848</v>
          </cell>
          <cell r="G30" t="str">
            <v>FINAL</v>
          </cell>
          <cell r="I30" t="str">
            <v>TOTAL</v>
          </cell>
          <cell r="J30">
            <v>758658</v>
          </cell>
          <cell r="K30">
            <v>6098861</v>
          </cell>
          <cell r="L30">
            <v>6857519</v>
          </cell>
          <cell r="O30" t="str">
            <v>FINAL</v>
          </cell>
          <cell r="Q30" t="str">
            <v>TOTAL</v>
          </cell>
          <cell r="R30">
            <v>7780888</v>
          </cell>
          <cell r="S30">
            <v>32916334</v>
          </cell>
          <cell r="T30">
            <v>40697222</v>
          </cell>
          <cell r="U30" t="str">
            <v>TOTAL</v>
          </cell>
          <cell r="V30">
            <v>5643838</v>
          </cell>
          <cell r="W30">
            <v>6112427</v>
          </cell>
          <cell r="X30">
            <v>11756265</v>
          </cell>
          <cell r="AC30" t="str">
            <v>TOTAL</v>
          </cell>
          <cell r="AD30">
            <v>15549476</v>
          </cell>
          <cell r="AE30">
            <v>125825501</v>
          </cell>
          <cell r="AF30">
            <v>141374977</v>
          </cell>
          <cell r="AG30" t="str">
            <v>TOTAL</v>
          </cell>
          <cell r="AH30">
            <v>93014459</v>
          </cell>
          <cell r="AI30">
            <v>89247330</v>
          </cell>
          <cell r="AJ30">
            <v>182261789</v>
          </cell>
          <cell r="AK30" t="str">
            <v>TOTAL</v>
          </cell>
          <cell r="AL30">
            <v>4827711</v>
          </cell>
          <cell r="AM30">
            <v>43928512</v>
          </cell>
          <cell r="AN30">
            <v>48756223</v>
          </cell>
          <cell r="AQ30" t="str">
            <v>FINAL</v>
          </cell>
          <cell r="AS30" t="str">
            <v>-</v>
          </cell>
          <cell r="AT30" t="str">
            <v>-</v>
          </cell>
          <cell r="AU30" t="str">
            <v>-</v>
          </cell>
          <cell r="AV30" t="str">
            <v>-</v>
          </cell>
          <cell r="AW30" t="str">
            <v>-</v>
          </cell>
          <cell r="AX30" t="str">
            <v>-</v>
          </cell>
          <cell r="AY30" t="str">
            <v>-</v>
          </cell>
          <cell r="AZ30" t="str">
            <v>-</v>
          </cell>
          <cell r="BA30" t="str">
            <v>TOTAL</v>
          </cell>
          <cell r="BB30">
            <v>65478149</v>
          </cell>
          <cell r="BC30">
            <v>91255993</v>
          </cell>
          <cell r="BD30">
            <v>156734142</v>
          </cell>
          <cell r="BE30" t="str">
            <v>TOTAL</v>
          </cell>
          <cell r="BF30">
            <v>687400</v>
          </cell>
          <cell r="BG30">
            <v>1334227</v>
          </cell>
          <cell r="BH30">
            <v>2021627</v>
          </cell>
          <cell r="BU30" t="str">
            <v>-</v>
          </cell>
          <cell r="BV30" t="str">
            <v>-</v>
          </cell>
          <cell r="BW30" t="str">
            <v>-</v>
          </cell>
          <cell r="BX30" t="str">
            <v>-</v>
          </cell>
          <cell r="BY30" t="str">
            <v>TOTAL</v>
          </cell>
          <cell r="BZ30">
            <v>8258897</v>
          </cell>
          <cell r="CA30">
            <v>90509858</v>
          </cell>
          <cell r="CB30">
            <v>98768755</v>
          </cell>
          <cell r="CC30" t="str">
            <v>TOTAL</v>
          </cell>
          <cell r="CD30">
            <v>5218935</v>
          </cell>
          <cell r="CE30">
            <v>17302716</v>
          </cell>
          <cell r="CF30">
            <v>22521651</v>
          </cell>
          <cell r="CG30" t="str">
            <v>TOTAL</v>
          </cell>
          <cell r="CH30">
            <v>32201607</v>
          </cell>
          <cell r="CI30">
            <v>28587120</v>
          </cell>
          <cell r="CJ30">
            <v>60788727</v>
          </cell>
          <cell r="CK30" t="str">
            <v>TOTAL</v>
          </cell>
          <cell r="CL30">
            <v>60858</v>
          </cell>
          <cell r="CM30">
            <v>489380</v>
          </cell>
          <cell r="CN30">
            <v>550238</v>
          </cell>
          <cell r="CO30" t="str">
            <v>TOTAL</v>
          </cell>
          <cell r="CP30">
            <v>0</v>
          </cell>
          <cell r="CQ30">
            <v>0</v>
          </cell>
          <cell r="CR30">
            <v>0</v>
          </cell>
          <cell r="CS30" t="str">
            <v>TOTAL</v>
          </cell>
          <cell r="CT30">
            <v>225005228</v>
          </cell>
          <cell r="CU30">
            <v>99249751</v>
          </cell>
          <cell r="CV30">
            <v>324254979</v>
          </cell>
          <cell r="CW30" t="str">
            <v>TOTAL</v>
          </cell>
          <cell r="CX30">
            <v>3846129</v>
          </cell>
          <cell r="CY30">
            <v>2236422</v>
          </cell>
          <cell r="CZ30">
            <v>6082551</v>
          </cell>
          <cell r="DA30" t="str">
            <v>TOTAL</v>
          </cell>
          <cell r="DB30">
            <v>965065</v>
          </cell>
          <cell r="DC30">
            <v>42792579</v>
          </cell>
          <cell r="DD30">
            <v>43757644</v>
          </cell>
          <cell r="DG30" t="str">
            <v>FINAL</v>
          </cell>
          <cell r="DI30" t="str">
            <v>TOTAL</v>
          </cell>
          <cell r="DJ30">
            <v>2971318</v>
          </cell>
          <cell r="DK30">
            <v>14034457</v>
          </cell>
          <cell r="DL30">
            <v>17005775</v>
          </cell>
          <cell r="DM30" t="str">
            <v>TOTAL</v>
          </cell>
          <cell r="DN30">
            <v>1268969</v>
          </cell>
          <cell r="DO30">
            <v>20804360</v>
          </cell>
          <cell r="DP30">
            <v>22073329</v>
          </cell>
          <cell r="DQ30" t="str">
            <v>TOTAL</v>
          </cell>
          <cell r="DR30">
            <v>1051221</v>
          </cell>
          <cell r="DS30">
            <v>6706994</v>
          </cell>
          <cell r="DT30">
            <v>7758215</v>
          </cell>
          <cell r="DU30" t="str">
            <v>TOTAL</v>
          </cell>
          <cell r="DV30">
            <v>9738108</v>
          </cell>
          <cell r="DW30">
            <v>8571190</v>
          </cell>
          <cell r="DX30">
            <v>18309298</v>
          </cell>
          <cell r="DY30" t="str">
            <v>TOTAL</v>
          </cell>
          <cell r="DZ30">
            <v>9307364</v>
          </cell>
          <cell r="EA30">
            <v>87134956</v>
          </cell>
          <cell r="EB30">
            <v>96442320</v>
          </cell>
          <cell r="ED30" t="str">
            <v>QUAY</v>
          </cell>
          <cell r="EE30">
            <v>30077751</v>
          </cell>
          <cell r="EF30">
            <v>109325169</v>
          </cell>
        </row>
        <row r="31">
          <cell r="U31" t="str">
            <v xml:space="preserve"> </v>
          </cell>
          <cell r="AK31" t="str">
            <v>-</v>
          </cell>
          <cell r="AL31" t="str">
            <v>-</v>
          </cell>
          <cell r="AM31" t="str">
            <v>-</v>
          </cell>
          <cell r="AN31" t="str">
            <v>-</v>
          </cell>
          <cell r="AS31" t="str">
            <v>GRAND TOTAL</v>
          </cell>
          <cell r="AT31">
            <v>4828150</v>
          </cell>
          <cell r="AU31">
            <v>20680787</v>
          </cell>
          <cell r="AV31">
            <v>25508937</v>
          </cell>
          <cell r="AW31" t="str">
            <v>GRAND TOTAL</v>
          </cell>
          <cell r="AX31">
            <v>78832989</v>
          </cell>
          <cell r="AY31">
            <v>62510267</v>
          </cell>
          <cell r="AZ31">
            <v>141343256</v>
          </cell>
          <cell r="BU31" t="str">
            <v>GRAND TOTAL</v>
          </cell>
          <cell r="BV31">
            <v>11758410</v>
          </cell>
          <cell r="BW31">
            <v>73953216</v>
          </cell>
          <cell r="BX31">
            <v>85711626</v>
          </cell>
        </row>
        <row r="32">
          <cell r="A32" t="str">
            <v>24-OUT NON-RES</v>
          </cell>
          <cell r="B32">
            <v>990221</v>
          </cell>
          <cell r="C32">
            <v>12687125</v>
          </cell>
          <cell r="D32">
            <v>13677346</v>
          </cell>
          <cell r="I32" t="str">
            <v>8-OUT NON-RES</v>
          </cell>
          <cell r="J32">
            <v>6223689</v>
          </cell>
          <cell r="K32">
            <v>32746352</v>
          </cell>
          <cell r="L32">
            <v>38970041</v>
          </cell>
          <cell r="Q32" t="str">
            <v>24-IN NON-RES</v>
          </cell>
          <cell r="R32">
            <v>1112271</v>
          </cell>
          <cell r="S32">
            <v>1303185</v>
          </cell>
          <cell r="T32">
            <v>2415456</v>
          </cell>
          <cell r="U32" t="str">
            <v>61-IN  NON-RES</v>
          </cell>
          <cell r="V32">
            <v>9930</v>
          </cell>
          <cell r="W32">
            <v>88688</v>
          </cell>
          <cell r="X32">
            <v>98618</v>
          </cell>
          <cell r="AC32" t="str">
            <v>16-OUT NON-RES</v>
          </cell>
          <cell r="AD32">
            <v>85404745</v>
          </cell>
          <cell r="AE32">
            <v>148280563</v>
          </cell>
          <cell r="AF32">
            <v>233685308</v>
          </cell>
          <cell r="AG32" t="str">
            <v>16-D-IN NON-RES</v>
          </cell>
          <cell r="AH32">
            <v>1366650</v>
          </cell>
          <cell r="AI32">
            <v>96109</v>
          </cell>
          <cell r="AJ32">
            <v>1462759</v>
          </cell>
          <cell r="AK32" t="str">
            <v>TOTAL NON-RES</v>
          </cell>
          <cell r="AL32">
            <v>36859199</v>
          </cell>
          <cell r="AM32">
            <v>144656665</v>
          </cell>
          <cell r="AN32">
            <v>181515864</v>
          </cell>
          <cell r="AS32" t="str">
            <v>=</v>
          </cell>
          <cell r="AT32" t="str">
            <v>=</v>
          </cell>
          <cell r="AU32" t="str">
            <v>=</v>
          </cell>
          <cell r="AV32" t="str">
            <v>=</v>
          </cell>
          <cell r="AW32" t="str">
            <v>=</v>
          </cell>
          <cell r="AX32" t="str">
            <v>=</v>
          </cell>
          <cell r="AY32" t="str">
            <v>=</v>
          </cell>
          <cell r="AZ32" t="str">
            <v>=</v>
          </cell>
          <cell r="BA32" t="str">
            <v>19-IN NON-RES</v>
          </cell>
          <cell r="BB32">
            <v>727083</v>
          </cell>
          <cell r="BC32">
            <v>1520730</v>
          </cell>
          <cell r="BD32">
            <v>2247813</v>
          </cell>
          <cell r="BE32" t="str">
            <v>13-OUT NON-RES</v>
          </cell>
          <cell r="BF32">
            <v>19365015</v>
          </cell>
          <cell r="BG32">
            <v>3938006</v>
          </cell>
          <cell r="BH32">
            <v>23303021</v>
          </cell>
          <cell r="BU32" t="str">
            <v>=</v>
          </cell>
          <cell r="BV32" t="str">
            <v>=</v>
          </cell>
          <cell r="BW32" t="str">
            <v>=</v>
          </cell>
          <cell r="BX32" t="str">
            <v>=</v>
          </cell>
          <cell r="BY32" t="str">
            <v>16 NON-RES</v>
          </cell>
          <cell r="BZ32">
            <v>501171</v>
          </cell>
          <cell r="CA32">
            <v>8462050</v>
          </cell>
          <cell r="CB32">
            <v>8963221</v>
          </cell>
          <cell r="CC32" t="str">
            <v>33 NON-RES</v>
          </cell>
          <cell r="CD32">
            <v>2459526</v>
          </cell>
          <cell r="CE32">
            <v>1539717</v>
          </cell>
          <cell r="CF32">
            <v>3999243</v>
          </cell>
          <cell r="CG32" t="str">
            <v>6T  NON-RES</v>
          </cell>
          <cell r="CH32">
            <v>2827327</v>
          </cell>
          <cell r="CI32">
            <v>4706764</v>
          </cell>
          <cell r="CJ32">
            <v>7534091</v>
          </cell>
          <cell r="CK32" t="str">
            <v>5-OUT NON-RES</v>
          </cell>
          <cell r="CL32">
            <v>2171317</v>
          </cell>
          <cell r="CM32">
            <v>9154168</v>
          </cell>
          <cell r="CN32">
            <v>11325485</v>
          </cell>
          <cell r="CO32" t="str">
            <v>94-IN NON-RES</v>
          </cell>
          <cell r="CP32">
            <v>32777053</v>
          </cell>
          <cell r="CQ32">
            <v>560510698</v>
          </cell>
          <cell r="CR32">
            <v>593287751</v>
          </cell>
          <cell r="CS32" t="str">
            <v>22 NON-RES</v>
          </cell>
          <cell r="CT32">
            <v>578518206</v>
          </cell>
          <cell r="CU32">
            <v>20889537</v>
          </cell>
          <cell r="CV32">
            <v>599407743</v>
          </cell>
          <cell r="CW32" t="str">
            <v>50  NON-RES</v>
          </cell>
          <cell r="CX32">
            <v>76921</v>
          </cell>
          <cell r="CY32">
            <v>176965</v>
          </cell>
          <cell r="CZ32">
            <v>253886</v>
          </cell>
          <cell r="DA32" t="str">
            <v>18-OUT NON-RES</v>
          </cell>
          <cell r="DB32">
            <v>183134</v>
          </cell>
          <cell r="DC32">
            <v>20531864</v>
          </cell>
          <cell r="DD32">
            <v>20714998</v>
          </cell>
          <cell r="DI32" t="str">
            <v>13-L  NON-RES</v>
          </cell>
          <cell r="DJ32">
            <v>1293768</v>
          </cell>
          <cell r="DK32">
            <v>621629</v>
          </cell>
          <cell r="DL32">
            <v>1915397</v>
          </cell>
          <cell r="DM32" t="str">
            <v>9-RR-IN NON-RES</v>
          </cell>
          <cell r="DN32">
            <v>904180</v>
          </cell>
          <cell r="DO32">
            <v>16590413</v>
          </cell>
          <cell r="DP32">
            <v>17494593</v>
          </cell>
          <cell r="DQ32" t="str">
            <v>13-OUT NON-RES</v>
          </cell>
          <cell r="DR32">
            <v>13890181</v>
          </cell>
          <cell r="DS32">
            <v>15293370</v>
          </cell>
          <cell r="DT32">
            <v>29183551</v>
          </cell>
          <cell r="DU32" t="str">
            <v>49  NON-RES</v>
          </cell>
          <cell r="DV32">
            <v>107915</v>
          </cell>
          <cell r="DW32">
            <v>350829</v>
          </cell>
          <cell r="DX32">
            <v>458744</v>
          </cell>
          <cell r="DY32" t="str">
            <v>2-OUT NON-RES</v>
          </cell>
          <cell r="DZ32">
            <v>31645045</v>
          </cell>
          <cell r="EA32">
            <v>72137982</v>
          </cell>
          <cell r="EB32">
            <v>103783027</v>
          </cell>
          <cell r="ED32" t="str">
            <v>RIO ARRIBA</v>
          </cell>
          <cell r="EE32">
            <v>115308724</v>
          </cell>
          <cell r="EF32">
            <v>536935789</v>
          </cell>
        </row>
        <row r="33">
          <cell r="A33" t="str">
            <v>24-OUT RESIDENTIAL</v>
          </cell>
          <cell r="C33">
            <v>69673677</v>
          </cell>
          <cell r="D33">
            <v>69673677</v>
          </cell>
          <cell r="I33" t="str">
            <v>8-OUT RESIDENTIAL</v>
          </cell>
          <cell r="K33">
            <v>11558223</v>
          </cell>
          <cell r="L33">
            <v>11558223</v>
          </cell>
          <cell r="Q33" t="str">
            <v>24-IN RESIDENTIAL</v>
          </cell>
          <cell r="S33">
            <v>7454359</v>
          </cell>
          <cell r="T33">
            <v>7454359</v>
          </cell>
          <cell r="U33" t="str">
            <v>61-IN  RESIDENTIAL</v>
          </cell>
          <cell r="W33">
            <v>322352</v>
          </cell>
          <cell r="X33">
            <v>322352</v>
          </cell>
          <cell r="AC33" t="str">
            <v>16-OUT RESIDENTIAL</v>
          </cell>
          <cell r="AE33">
            <v>276394257</v>
          </cell>
          <cell r="AF33">
            <v>276394257</v>
          </cell>
          <cell r="AG33" t="str">
            <v>16-D-IN RESIDENTIAL</v>
          </cell>
          <cell r="AI33">
            <v>357624</v>
          </cell>
          <cell r="AJ33">
            <v>357624</v>
          </cell>
          <cell r="AK33" t="str">
            <v>TOTAL RESIDENTIAL</v>
          </cell>
          <cell r="AL33">
            <v>0</v>
          </cell>
          <cell r="AM33">
            <v>333901550</v>
          </cell>
          <cell r="AN33">
            <v>333901550</v>
          </cell>
          <cell r="AS33" t="str">
            <v>FILE:CAVAL08</v>
          </cell>
          <cell r="AU33" t="str">
            <v>TAX YEAR  08</v>
          </cell>
          <cell r="AW33" t="str">
            <v>FILE:CAVAL08</v>
          </cell>
          <cell r="AY33" t="str">
            <v>TAX YEAR  08</v>
          </cell>
          <cell r="BA33" t="str">
            <v>19-IN RESIDENTIAL</v>
          </cell>
          <cell r="BB33">
            <v>0</v>
          </cell>
          <cell r="BC33">
            <v>6714124</v>
          </cell>
          <cell r="BD33">
            <v>6714124</v>
          </cell>
          <cell r="BE33" t="str">
            <v>13-OUT RESIDENTIAL</v>
          </cell>
          <cell r="BG33">
            <v>2689022</v>
          </cell>
          <cell r="BH33">
            <v>2689022</v>
          </cell>
          <cell r="BU33" t="str">
            <v>FILE:CAVAL08</v>
          </cell>
          <cell r="BW33" t="str">
            <v>TAX YEAR  08</v>
          </cell>
          <cell r="BY33" t="str">
            <v>16 RESIDENTIAL</v>
          </cell>
          <cell r="BZ33">
            <v>0</v>
          </cell>
          <cell r="CA33">
            <v>19902480</v>
          </cell>
          <cell r="CB33">
            <v>19902480</v>
          </cell>
          <cell r="CC33" t="str">
            <v>33 RESIDENTIAL</v>
          </cell>
          <cell r="CE33">
            <v>768012</v>
          </cell>
          <cell r="CF33">
            <v>768012</v>
          </cell>
          <cell r="CG33" t="str">
            <v>6T  RESIDENTIAL</v>
          </cell>
          <cell r="CI33">
            <v>15836301</v>
          </cell>
          <cell r="CJ33">
            <v>15836301</v>
          </cell>
          <cell r="CK33" t="str">
            <v>5-OUT RESIDENTIAL</v>
          </cell>
          <cell r="CL33">
            <v>0</v>
          </cell>
          <cell r="CM33">
            <v>2610195</v>
          </cell>
          <cell r="CN33">
            <v>2610195</v>
          </cell>
          <cell r="CO33" t="str">
            <v>94-IN RESIDENTIAL</v>
          </cell>
          <cell r="CQ33">
            <v>1502047414</v>
          </cell>
          <cell r="CR33">
            <v>1502047414</v>
          </cell>
          <cell r="CS33" t="str">
            <v>22 RESIDENTIAL</v>
          </cell>
          <cell r="CU33">
            <v>60790476</v>
          </cell>
          <cell r="CV33">
            <v>60790476</v>
          </cell>
          <cell r="CW33" t="str">
            <v>50  RESIDENTIAL</v>
          </cell>
          <cell r="CX33">
            <v>0</v>
          </cell>
          <cell r="CY33">
            <v>669859</v>
          </cell>
          <cell r="CZ33">
            <v>669859</v>
          </cell>
          <cell r="DA33" t="str">
            <v>18-OUT RESIDENTIAL</v>
          </cell>
          <cell r="DB33">
            <v>0</v>
          </cell>
          <cell r="DC33">
            <v>42387601</v>
          </cell>
          <cell r="DD33">
            <v>42387601</v>
          </cell>
          <cell r="DI33" t="str">
            <v>13-L  RESIDENTIAL</v>
          </cell>
          <cell r="DK33">
            <v>299756</v>
          </cell>
          <cell r="DL33">
            <v>299756</v>
          </cell>
          <cell r="DM33" t="str">
            <v>9-RR-IN RESIDENTIAL</v>
          </cell>
          <cell r="DO33">
            <v>26650459</v>
          </cell>
          <cell r="DP33">
            <v>26650459</v>
          </cell>
          <cell r="DQ33" t="str">
            <v>13-OUT RESIDENTIAL</v>
          </cell>
          <cell r="DR33">
            <v>0</v>
          </cell>
          <cell r="DS33">
            <v>6346726</v>
          </cell>
          <cell r="DT33">
            <v>6346726</v>
          </cell>
          <cell r="DU33" t="str">
            <v>49  RESIDENTIAL</v>
          </cell>
          <cell r="DV33">
            <v>0</v>
          </cell>
          <cell r="DW33">
            <v>261780</v>
          </cell>
          <cell r="DX33">
            <v>261780</v>
          </cell>
          <cell r="DY33" t="str">
            <v>2-OUT RESIDENTIAL</v>
          </cell>
          <cell r="EA33">
            <v>204453751</v>
          </cell>
          <cell r="EB33">
            <v>204453751</v>
          </cell>
          <cell r="ED33" t="str">
            <v>ROOSEVELT</v>
          </cell>
          <cell r="EE33">
            <v>43635121</v>
          </cell>
          <cell r="EF33">
            <v>209310531</v>
          </cell>
        </row>
        <row r="34">
          <cell r="A34" t="str">
            <v>TOTAL</v>
          </cell>
          <cell r="B34">
            <v>990221</v>
          </cell>
          <cell r="C34">
            <v>82360802</v>
          </cell>
          <cell r="D34">
            <v>83351023</v>
          </cell>
          <cell r="I34" t="str">
            <v>TOTAL</v>
          </cell>
          <cell r="J34">
            <v>6223689</v>
          </cell>
          <cell r="K34">
            <v>44304575</v>
          </cell>
          <cell r="L34">
            <v>50528264</v>
          </cell>
          <cell r="Q34" t="str">
            <v>TOTAL</v>
          </cell>
          <cell r="R34">
            <v>1112271</v>
          </cell>
          <cell r="S34">
            <v>8757544</v>
          </cell>
          <cell r="T34">
            <v>9869815</v>
          </cell>
          <cell r="U34" t="str">
            <v>TOTAL</v>
          </cell>
          <cell r="V34">
            <v>9930</v>
          </cell>
          <cell r="W34">
            <v>411040</v>
          </cell>
          <cell r="X34">
            <v>420970</v>
          </cell>
          <cell r="AC34" t="str">
            <v>TOTAL</v>
          </cell>
          <cell r="AD34">
            <v>85404745</v>
          </cell>
          <cell r="AE34">
            <v>424674820</v>
          </cell>
          <cell r="AF34">
            <v>510079565</v>
          </cell>
          <cell r="AG34" t="str">
            <v>TOTAL</v>
          </cell>
          <cell r="AH34">
            <v>1366650</v>
          </cell>
          <cell r="AI34">
            <v>453733</v>
          </cell>
          <cell r="AJ34">
            <v>1820383</v>
          </cell>
          <cell r="AK34" t="str">
            <v>-</v>
          </cell>
          <cell r="AL34" t="str">
            <v>-</v>
          </cell>
          <cell r="AM34" t="str">
            <v>-</v>
          </cell>
          <cell r="AN34" t="str">
            <v>-</v>
          </cell>
          <cell r="AU34" t="str">
            <v>FINAL</v>
          </cell>
          <cell r="AY34" t="str">
            <v>FINAL</v>
          </cell>
          <cell r="BA34" t="str">
            <v>TOTAL</v>
          </cell>
          <cell r="BB34">
            <v>727083</v>
          </cell>
          <cell r="BC34">
            <v>8234854</v>
          </cell>
          <cell r="BD34">
            <v>8961937</v>
          </cell>
          <cell r="BE34" t="str">
            <v>TOTAL</v>
          </cell>
          <cell r="BF34">
            <v>19365015</v>
          </cell>
          <cell r="BG34">
            <v>6627028</v>
          </cell>
          <cell r="BH34">
            <v>25992043</v>
          </cell>
          <cell r="BW34" t="str">
            <v>FINAL</v>
          </cell>
          <cell r="BY34" t="str">
            <v>TOTAL</v>
          </cell>
          <cell r="BZ34">
            <v>501171</v>
          </cell>
          <cell r="CA34">
            <v>28364530</v>
          </cell>
          <cell r="CB34">
            <v>28865701</v>
          </cell>
          <cell r="CC34" t="str">
            <v>TOTAL</v>
          </cell>
          <cell r="CD34">
            <v>2459526</v>
          </cell>
          <cell r="CE34">
            <v>2307729</v>
          </cell>
          <cell r="CF34">
            <v>4767255</v>
          </cell>
          <cell r="CG34" t="str">
            <v>TOTAL</v>
          </cell>
          <cell r="CH34">
            <v>2827327</v>
          </cell>
          <cell r="CI34" t="str">
            <v xml:space="preserve"> </v>
          </cell>
          <cell r="CJ34">
            <v>2827327</v>
          </cell>
          <cell r="CK34" t="str">
            <v>TOTAL</v>
          </cell>
          <cell r="CL34">
            <v>2171317</v>
          </cell>
          <cell r="CM34">
            <v>11764363</v>
          </cell>
          <cell r="CN34">
            <v>13935680</v>
          </cell>
          <cell r="CO34" t="str">
            <v>TOTAL</v>
          </cell>
          <cell r="CP34">
            <v>32777053</v>
          </cell>
          <cell r="CQ34">
            <v>2062558112</v>
          </cell>
          <cell r="CR34">
            <v>2095335165</v>
          </cell>
          <cell r="CS34" t="str">
            <v>TOTAL</v>
          </cell>
          <cell r="CT34">
            <v>578518206</v>
          </cell>
          <cell r="CU34">
            <v>81680013</v>
          </cell>
          <cell r="CV34">
            <v>660198219</v>
          </cell>
          <cell r="CW34" t="str">
            <v>TOTAL</v>
          </cell>
          <cell r="CX34">
            <v>76921</v>
          </cell>
          <cell r="CY34">
            <v>846824</v>
          </cell>
          <cell r="CZ34">
            <v>923745</v>
          </cell>
          <cell r="DA34" t="str">
            <v>TOTAL</v>
          </cell>
          <cell r="DB34">
            <v>183134</v>
          </cell>
          <cell r="DC34">
            <v>62919465</v>
          </cell>
          <cell r="DD34">
            <v>63102599</v>
          </cell>
          <cell r="DI34" t="str">
            <v>TOTAL</v>
          </cell>
          <cell r="DJ34">
            <v>1293768</v>
          </cell>
          <cell r="DK34">
            <v>921385</v>
          </cell>
          <cell r="DL34">
            <v>2215153</v>
          </cell>
          <cell r="DM34" t="str">
            <v>TOTAL</v>
          </cell>
          <cell r="DN34">
            <v>904180</v>
          </cell>
          <cell r="DO34">
            <v>43240872</v>
          </cell>
          <cell r="DP34">
            <v>44145052</v>
          </cell>
          <cell r="DQ34" t="str">
            <v>TOTAL</v>
          </cell>
          <cell r="DR34">
            <v>13890181</v>
          </cell>
          <cell r="DS34">
            <v>21640096</v>
          </cell>
          <cell r="DT34">
            <v>35530277</v>
          </cell>
          <cell r="DU34" t="str">
            <v>TOTAL</v>
          </cell>
          <cell r="DV34">
            <v>107915</v>
          </cell>
          <cell r="DW34">
            <v>612609</v>
          </cell>
          <cell r="DX34">
            <v>720524</v>
          </cell>
          <cell r="DY34" t="str">
            <v>TOTAL</v>
          </cell>
          <cell r="DZ34">
            <v>31645045</v>
          </cell>
          <cell r="EA34">
            <v>276591733</v>
          </cell>
          <cell r="EB34">
            <v>308236778</v>
          </cell>
          <cell r="ED34" t="str">
            <v>SANDOVAL</v>
          </cell>
          <cell r="EE34">
            <v>115336830</v>
          </cell>
          <cell r="EF34">
            <v>3392762559</v>
          </cell>
        </row>
        <row r="35">
          <cell r="ED35" t="str">
            <v>SAN JUAN</v>
          </cell>
          <cell r="EE35">
            <v>963208924</v>
          </cell>
          <cell r="EF35">
            <v>1553930638</v>
          </cell>
        </row>
        <row r="36">
          <cell r="A36" t="str">
            <v>R1-A NON-RES</v>
          </cell>
          <cell r="B36">
            <v>164397</v>
          </cell>
          <cell r="C36">
            <v>8407944</v>
          </cell>
          <cell r="D36">
            <v>8572341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GRAND TOTAL</v>
          </cell>
          <cell r="AL36">
            <v>36859199</v>
          </cell>
          <cell r="AM36">
            <v>478558215</v>
          </cell>
          <cell r="AN36">
            <v>515417414</v>
          </cell>
          <cell r="BE36" t="str">
            <v>20 NON-RES</v>
          </cell>
          <cell r="BF36">
            <v>6098572</v>
          </cell>
          <cell r="BG36">
            <v>6976753</v>
          </cell>
          <cell r="BH36">
            <v>13075325</v>
          </cell>
          <cell r="BY36" t="str">
            <v>TOTAL NON-RES</v>
          </cell>
          <cell r="BZ36">
            <v>62818073</v>
          </cell>
          <cell r="CA36">
            <v>197708051</v>
          </cell>
          <cell r="CB36">
            <v>260526124</v>
          </cell>
          <cell r="CO36" t="str">
            <v>2-AC-IN NON-RES</v>
          </cell>
          <cell r="CP36">
            <v>0</v>
          </cell>
          <cell r="CQ36">
            <v>4452444</v>
          </cell>
          <cell r="CR36">
            <v>4452444</v>
          </cell>
          <cell r="CS36" t="str">
            <v>6120 NON-RES</v>
          </cell>
          <cell r="CT36">
            <v>0</v>
          </cell>
          <cell r="CU36">
            <v>910749</v>
          </cell>
          <cell r="CV36">
            <v>910749</v>
          </cell>
          <cell r="DA36" t="str">
            <v>1-D NON-RES</v>
          </cell>
          <cell r="DB36">
            <v>128001</v>
          </cell>
          <cell r="DC36">
            <v>0</v>
          </cell>
          <cell r="DD36">
            <v>128001</v>
          </cell>
          <cell r="DQ36" t="str">
            <v>16-IN NON-RES</v>
          </cell>
          <cell r="DR36">
            <v>312440</v>
          </cell>
          <cell r="DS36">
            <v>98581</v>
          </cell>
          <cell r="DT36">
            <v>411021</v>
          </cell>
          <cell r="DU36" t="str">
            <v>-</v>
          </cell>
          <cell r="DY36" t="str">
            <v>PR-01 NON-RES</v>
          </cell>
          <cell r="DZ36">
            <v>0</v>
          </cell>
          <cell r="EA36">
            <v>5492389</v>
          </cell>
          <cell r="EB36">
            <v>5492389</v>
          </cell>
        </row>
        <row r="37">
          <cell r="A37" t="str">
            <v>R1-A RESIDENTIAL</v>
          </cell>
          <cell r="C37">
            <v>0</v>
          </cell>
          <cell r="D37">
            <v>0</v>
          </cell>
          <cell r="AG37" t="str">
            <v>TOTAL NON-RES</v>
          </cell>
          <cell r="AH37">
            <v>471041227</v>
          </cell>
          <cell r="AI37">
            <v>233514236</v>
          </cell>
          <cell r="AJ37">
            <v>704555463</v>
          </cell>
          <cell r="BE37" t="str">
            <v>20 RESIDENTIAL</v>
          </cell>
          <cell r="BG37">
            <v>11786438</v>
          </cell>
          <cell r="BH37">
            <v>11786438</v>
          </cell>
          <cell r="BY37" t="str">
            <v>TOTAL RESIDENTIAL</v>
          </cell>
          <cell r="BZ37">
            <v>0</v>
          </cell>
          <cell r="CA37">
            <v>567756282</v>
          </cell>
          <cell r="CB37">
            <v>567756282</v>
          </cell>
          <cell r="CO37" t="str">
            <v>2-AC-IN RES</v>
          </cell>
          <cell r="CQ37">
            <v>37917244</v>
          </cell>
          <cell r="CR37">
            <v>37917244</v>
          </cell>
          <cell r="CS37" t="str">
            <v>6120 RESIDENTIAL</v>
          </cell>
          <cell r="CU37">
            <v>135049</v>
          </cell>
          <cell r="CV37">
            <v>135049</v>
          </cell>
          <cell r="DA37" t="str">
            <v>1-D RESIDENTIAL</v>
          </cell>
          <cell r="DB37">
            <v>0</v>
          </cell>
          <cell r="DC37">
            <v>0</v>
          </cell>
          <cell r="DD37">
            <v>0</v>
          </cell>
          <cell r="DQ37" t="str">
            <v>16-IN RESIDENTIAL</v>
          </cell>
          <cell r="DR37">
            <v>0</v>
          </cell>
          <cell r="DS37">
            <v>318034</v>
          </cell>
          <cell r="DT37">
            <v>318034</v>
          </cell>
          <cell r="DU37" t="str">
            <v>TOTAL NON-RES</v>
          </cell>
          <cell r="DV37">
            <v>29200306</v>
          </cell>
          <cell r="DW37">
            <v>50996500</v>
          </cell>
          <cell r="DX37">
            <v>80196806</v>
          </cell>
          <cell r="DY37" t="str">
            <v>PR-01 RESIDENTIAL</v>
          </cell>
          <cell r="EA37">
            <v>40674443</v>
          </cell>
          <cell r="EB37">
            <v>40674443</v>
          </cell>
          <cell r="ED37" t="str">
            <v>SAN MIGUEL</v>
          </cell>
          <cell r="EE37">
            <v>25907747</v>
          </cell>
          <cell r="EF37">
            <v>417106727</v>
          </cell>
        </row>
        <row r="38">
          <cell r="A38" t="str">
            <v>TOTAL</v>
          </cell>
          <cell r="B38">
            <v>164397</v>
          </cell>
          <cell r="C38">
            <v>8407944</v>
          </cell>
          <cell r="D38">
            <v>8572341</v>
          </cell>
          <cell r="AG38" t="str">
            <v>TOTAL RESIDENTIAL</v>
          </cell>
          <cell r="AI38">
            <v>377437300</v>
          </cell>
          <cell r="AJ38">
            <v>377437300</v>
          </cell>
          <cell r="BE38" t="str">
            <v>TOTAL</v>
          </cell>
          <cell r="BF38">
            <v>6098572</v>
          </cell>
          <cell r="BG38">
            <v>18763191</v>
          </cell>
          <cell r="BH38">
            <v>24861763</v>
          </cell>
          <cell r="BY38" t="str">
            <v>-</v>
          </cell>
          <cell r="BZ38" t="str">
            <v>-</v>
          </cell>
          <cell r="CA38" t="str">
            <v>-</v>
          </cell>
          <cell r="CB38" t="str">
            <v>-</v>
          </cell>
          <cell r="CO38" t="str">
            <v>TOTAL</v>
          </cell>
          <cell r="CP38">
            <v>0</v>
          </cell>
          <cell r="CQ38">
            <v>42369688</v>
          </cell>
          <cell r="CR38">
            <v>42369688</v>
          </cell>
          <cell r="CS38" t="str">
            <v>TOTAL</v>
          </cell>
          <cell r="CT38">
            <v>0</v>
          </cell>
          <cell r="CU38">
            <v>1045798</v>
          </cell>
          <cell r="CV38">
            <v>1045798</v>
          </cell>
          <cell r="DA38" t="str">
            <v>TOTAL</v>
          </cell>
          <cell r="DB38">
            <v>128001</v>
          </cell>
          <cell r="DC38">
            <v>0</v>
          </cell>
          <cell r="DD38">
            <v>128001</v>
          </cell>
          <cell r="DQ38" t="str">
            <v>TOTAL</v>
          </cell>
          <cell r="DR38">
            <v>312440</v>
          </cell>
          <cell r="DS38">
            <v>416615</v>
          </cell>
          <cell r="DT38">
            <v>729055</v>
          </cell>
          <cell r="DU38" t="str">
            <v>TOTAL RESIDENTIAL</v>
          </cell>
          <cell r="DV38">
            <v>0</v>
          </cell>
          <cell r="DW38">
            <v>28604082</v>
          </cell>
          <cell r="DX38">
            <v>28604082</v>
          </cell>
          <cell r="DY38" t="str">
            <v>TOTAL</v>
          </cell>
          <cell r="DZ38">
            <v>0</v>
          </cell>
          <cell r="EA38">
            <v>46166832</v>
          </cell>
          <cell r="EB38">
            <v>46166832</v>
          </cell>
        </row>
        <row r="39">
          <cell r="AG39" t="str">
            <v>-</v>
          </cell>
          <cell r="AH39" t="str">
            <v>-</v>
          </cell>
          <cell r="AI39" t="str">
            <v>-</v>
          </cell>
          <cell r="AJ39" t="str">
            <v>-</v>
          </cell>
          <cell r="BY39" t="str">
            <v>GRAND TOTAL</v>
          </cell>
          <cell r="BZ39">
            <v>62818073</v>
          </cell>
          <cell r="CA39">
            <v>765464333</v>
          </cell>
          <cell r="CB39">
            <v>828282406</v>
          </cell>
          <cell r="DU39" t="str">
            <v>-</v>
          </cell>
          <cell r="DV39" t="str">
            <v>-</v>
          </cell>
          <cell r="DW39" t="str">
            <v>-</v>
          </cell>
          <cell r="DX39" t="str">
            <v>-</v>
          </cell>
          <cell r="DY39" t="str">
            <v>-</v>
          </cell>
          <cell r="DZ39" t="str">
            <v>-</v>
          </cell>
          <cell r="EA39" t="str">
            <v>-</v>
          </cell>
          <cell r="EB39" t="str">
            <v>-</v>
          </cell>
        </row>
        <row r="40">
          <cell r="A40" t="str">
            <v>TOTAL NON-RES</v>
          </cell>
          <cell r="B40">
            <v>479076818</v>
          </cell>
          <cell r="C40">
            <v>3446464351</v>
          </cell>
          <cell r="D40">
            <v>3925541169</v>
          </cell>
          <cell r="I40" t="str">
            <v>20-IN NON-RES</v>
          </cell>
          <cell r="J40">
            <v>263479</v>
          </cell>
          <cell r="K40">
            <v>131297</v>
          </cell>
          <cell r="L40">
            <v>394776</v>
          </cell>
          <cell r="Q40" t="str">
            <v>24-OUT NON-RES</v>
          </cell>
          <cell r="R40">
            <v>6612948</v>
          </cell>
          <cell r="S40">
            <v>5417904</v>
          </cell>
          <cell r="T40">
            <v>12030852</v>
          </cell>
          <cell r="U40" t="str">
            <v>61-OUT  NON-RES</v>
          </cell>
          <cell r="V40">
            <v>1964957</v>
          </cell>
          <cell r="W40">
            <v>2790312</v>
          </cell>
          <cell r="X40">
            <v>4755269</v>
          </cell>
          <cell r="AC40" t="str">
            <v>TOTAL NON-RES</v>
          </cell>
          <cell r="AD40">
            <v>195264526</v>
          </cell>
          <cell r="AE40">
            <v>966907836</v>
          </cell>
          <cell r="AF40">
            <v>1162172362</v>
          </cell>
          <cell r="AG40" t="str">
            <v>GRAND TOTAL</v>
          </cell>
          <cell r="AH40">
            <v>471041227</v>
          </cell>
          <cell r="AI40">
            <v>610951536</v>
          </cell>
          <cell r="AJ40">
            <v>1081992763</v>
          </cell>
          <cell r="AK40" t="str">
            <v>=</v>
          </cell>
          <cell r="AL40" t="str">
            <v>=</v>
          </cell>
          <cell r="AM40" t="str">
            <v>=</v>
          </cell>
          <cell r="AN40" t="str">
            <v>=</v>
          </cell>
          <cell r="BA40" t="str">
            <v>19-OUT NON-RES</v>
          </cell>
          <cell r="BB40">
            <v>24052235</v>
          </cell>
          <cell r="BC40">
            <v>1508157</v>
          </cell>
          <cell r="BD40">
            <v>25560392</v>
          </cell>
          <cell r="BE40" t="str">
            <v>28-IN NON-RES</v>
          </cell>
          <cell r="BF40">
            <v>762660</v>
          </cell>
          <cell r="BG40">
            <v>2880353</v>
          </cell>
          <cell r="BH40">
            <v>3643013</v>
          </cell>
          <cell r="BY40" t="str">
            <v>=</v>
          </cell>
          <cell r="BZ40" t="str">
            <v>=</v>
          </cell>
          <cell r="CA40" t="str">
            <v>=</v>
          </cell>
          <cell r="CB40" t="str">
            <v>=</v>
          </cell>
          <cell r="CC40" t="str">
            <v>34-IN NON-RES</v>
          </cell>
          <cell r="CD40">
            <v>295116</v>
          </cell>
          <cell r="CE40">
            <v>346074</v>
          </cell>
          <cell r="CF40">
            <v>641190</v>
          </cell>
          <cell r="CG40" t="str">
            <v>32  NON-RES</v>
          </cell>
          <cell r="CH40">
            <v>546930</v>
          </cell>
          <cell r="CI40">
            <v>1099486</v>
          </cell>
          <cell r="CJ40">
            <v>1646416</v>
          </cell>
          <cell r="CK40" t="str">
            <v>39-IN NON-RES</v>
          </cell>
          <cell r="CL40">
            <v>44912</v>
          </cell>
          <cell r="CM40">
            <v>124186</v>
          </cell>
          <cell r="CN40">
            <v>169098</v>
          </cell>
          <cell r="CO40" t="str">
            <v>20-IN NON-RES</v>
          </cell>
          <cell r="CP40">
            <v>1366197</v>
          </cell>
          <cell r="CQ40">
            <v>3714317</v>
          </cell>
          <cell r="CR40">
            <v>5080514</v>
          </cell>
          <cell r="CS40" t="str">
            <v>TOTAL NON-RES</v>
          </cell>
          <cell r="CT40">
            <v>963208924</v>
          </cell>
          <cell r="CU40">
            <v>561426617</v>
          </cell>
          <cell r="CV40">
            <v>1524635541</v>
          </cell>
          <cell r="CW40" t="str">
            <v>TOTAL NON-RES</v>
          </cell>
          <cell r="CX40">
            <v>25907747</v>
          </cell>
          <cell r="CY40">
            <v>120596960</v>
          </cell>
          <cell r="CZ40">
            <v>146504707</v>
          </cell>
          <cell r="DA40" t="str">
            <v>18-D-OUT NON-RES</v>
          </cell>
          <cell r="DB40">
            <v>82222</v>
          </cell>
          <cell r="DC40">
            <v>0</v>
          </cell>
          <cell r="DD40">
            <v>82222</v>
          </cell>
          <cell r="DI40" t="str">
            <v>13-T  NON-RES</v>
          </cell>
          <cell r="DJ40">
            <v>1876407</v>
          </cell>
          <cell r="DK40">
            <v>470912</v>
          </cell>
          <cell r="DL40">
            <v>2347319</v>
          </cell>
          <cell r="DM40" t="str">
            <v>9-OUT NON-RES</v>
          </cell>
          <cell r="DN40">
            <v>42087728</v>
          </cell>
          <cell r="DO40">
            <v>20208710</v>
          </cell>
          <cell r="DP40">
            <v>62296438</v>
          </cell>
          <cell r="DQ40" t="str">
            <v>16-OUT NON-RES</v>
          </cell>
          <cell r="DR40">
            <v>14748485</v>
          </cell>
          <cell r="DS40">
            <v>2557642</v>
          </cell>
          <cell r="DT40">
            <v>17306127</v>
          </cell>
          <cell r="DU40" t="str">
            <v>GRAND TOTAL</v>
          </cell>
          <cell r="DV40">
            <v>29200306</v>
          </cell>
          <cell r="DW40">
            <v>79600582</v>
          </cell>
          <cell r="DX40">
            <v>108800888</v>
          </cell>
          <cell r="DY40" t="str">
            <v>TOTAL NON-RES</v>
          </cell>
          <cell r="DZ40">
            <v>69286909</v>
          </cell>
          <cell r="EA40">
            <v>235331505</v>
          </cell>
          <cell r="EB40">
            <v>304618414</v>
          </cell>
          <cell r="ED40" t="str">
            <v>SANTA FE</v>
          </cell>
          <cell r="EE40">
            <v>106516551</v>
          </cell>
          <cell r="EF40">
            <v>6444292097</v>
          </cell>
        </row>
        <row r="41">
          <cell r="A41" t="str">
            <v>TOTAL RESIDENTIAL</v>
          </cell>
          <cell r="B41">
            <v>0</v>
          </cell>
          <cell r="C41">
            <v>10050550836</v>
          </cell>
          <cell r="D41">
            <v>10050550836</v>
          </cell>
          <cell r="I41" t="str">
            <v>20-IN RESIDENTIAL</v>
          </cell>
          <cell r="K41">
            <v>855770</v>
          </cell>
          <cell r="L41">
            <v>855770</v>
          </cell>
          <cell r="Q41" t="str">
            <v>24-OUT RESIDENTIAL</v>
          </cell>
          <cell r="S41">
            <v>6820882</v>
          </cell>
          <cell r="T41">
            <v>6820882</v>
          </cell>
          <cell r="U41" t="str">
            <v>61-OUT RESIDENTIAL</v>
          </cell>
          <cell r="W41">
            <v>1670533</v>
          </cell>
          <cell r="X41">
            <v>1670533</v>
          </cell>
          <cell r="AC41" t="str">
            <v>TOTAL RESIDENTIAL</v>
          </cell>
          <cell r="AD41">
            <v>0</v>
          </cell>
          <cell r="AE41">
            <v>2295008028</v>
          </cell>
          <cell r="AF41">
            <v>2295008028</v>
          </cell>
          <cell r="AG41" t="str">
            <v>=</v>
          </cell>
          <cell r="AH41" t="str">
            <v>=</v>
          </cell>
          <cell r="AI41" t="str">
            <v>=</v>
          </cell>
          <cell r="AJ41" t="str">
            <v>=</v>
          </cell>
          <cell r="AK41" t="str">
            <v>FILE:CAVAL08</v>
          </cell>
          <cell r="AM41" t="str">
            <v>TAX YEAR  08</v>
          </cell>
          <cell r="BA41" t="str">
            <v>19-OUT RESIDENTIAL</v>
          </cell>
          <cell r="BB41">
            <v>0</v>
          </cell>
          <cell r="BC41">
            <v>709269</v>
          </cell>
          <cell r="BD41">
            <v>709269</v>
          </cell>
          <cell r="BE41" t="str">
            <v>28-IN RESIDENTIAL</v>
          </cell>
          <cell r="BG41">
            <v>13283566</v>
          </cell>
          <cell r="BH41">
            <v>13283566</v>
          </cell>
          <cell r="BY41" t="str">
            <v>FILE:CAVAL08</v>
          </cell>
          <cell r="CA41" t="str">
            <v>TAX YEAR  08</v>
          </cell>
          <cell r="CC41" t="str">
            <v>34-IN RESIDENTIAL</v>
          </cell>
          <cell r="CE41">
            <v>713390</v>
          </cell>
          <cell r="CF41">
            <v>713390</v>
          </cell>
          <cell r="CG41" t="str">
            <v>32  RESIDENTIAL</v>
          </cell>
          <cell r="CI41">
            <v>1773187</v>
          </cell>
          <cell r="CJ41">
            <v>1773187</v>
          </cell>
          <cell r="CK41" t="str">
            <v>39-IN RESIDENTIAL</v>
          </cell>
          <cell r="CL41">
            <v>0</v>
          </cell>
          <cell r="CM41">
            <v>485836</v>
          </cell>
          <cell r="CN41">
            <v>485836</v>
          </cell>
          <cell r="CO41" t="str">
            <v>20-IN RESIDENTIAL</v>
          </cell>
          <cell r="CQ41">
            <v>2582011</v>
          </cell>
          <cell r="CR41">
            <v>2582011</v>
          </cell>
          <cell r="CS41" t="str">
            <v>TOTAL RESIDENTIAL</v>
          </cell>
          <cell r="CT41">
            <v>0</v>
          </cell>
          <cell r="CU41">
            <v>992504021</v>
          </cell>
          <cell r="CV41">
            <v>992504021</v>
          </cell>
          <cell r="CW41" t="str">
            <v>TOTAL RESIDENTIAL</v>
          </cell>
          <cell r="CX41">
            <v>0</v>
          </cell>
          <cell r="CY41">
            <v>296509767</v>
          </cell>
          <cell r="CZ41">
            <v>296509767</v>
          </cell>
          <cell r="DA41" t="str">
            <v>18-D-OUT RESIDENTIAL</v>
          </cell>
          <cell r="DB41">
            <v>0</v>
          </cell>
          <cell r="DC41">
            <v>0</v>
          </cell>
          <cell r="DD41">
            <v>0</v>
          </cell>
          <cell r="DI41" t="str">
            <v>13-T  RESIDENTIAL</v>
          </cell>
          <cell r="DK41">
            <v>721286</v>
          </cell>
          <cell r="DL41">
            <v>721286</v>
          </cell>
          <cell r="DM41" t="str">
            <v>9-OUT RESIDENTIAL</v>
          </cell>
          <cell r="DO41">
            <v>42651577</v>
          </cell>
          <cell r="DP41">
            <v>42651577</v>
          </cell>
          <cell r="DQ41" t="str">
            <v>16-OUT RESIDENTIAL</v>
          </cell>
          <cell r="DR41">
            <v>0</v>
          </cell>
          <cell r="DS41">
            <v>888872</v>
          </cell>
          <cell r="DT41">
            <v>888872</v>
          </cell>
          <cell r="DU41" t="str">
            <v>=</v>
          </cell>
          <cell r="DV41" t="str">
            <v>=</v>
          </cell>
          <cell r="DW41" t="str">
            <v>=</v>
          </cell>
          <cell r="DX41" t="str">
            <v>=</v>
          </cell>
          <cell r="DY41" t="str">
            <v>TOTAL RESIDENTIAL</v>
          </cell>
          <cell r="DZ41">
            <v>0</v>
          </cell>
          <cell r="EA41">
            <v>754884061</v>
          </cell>
          <cell r="EB41">
            <v>754884061</v>
          </cell>
          <cell r="ED41" t="str">
            <v>SIERRA</v>
          </cell>
          <cell r="EE41">
            <v>26304388</v>
          </cell>
          <cell r="EF41">
            <v>221585706</v>
          </cell>
        </row>
        <row r="42">
          <cell r="A42" t="str">
            <v>-</v>
          </cell>
          <cell r="B42" t="str">
            <v>-</v>
          </cell>
          <cell r="C42" t="str">
            <v>-</v>
          </cell>
          <cell r="D42" t="str">
            <v>-</v>
          </cell>
          <cell r="I42" t="str">
            <v>TOTAL</v>
          </cell>
          <cell r="J42">
            <v>263479</v>
          </cell>
          <cell r="K42">
            <v>987067</v>
          </cell>
          <cell r="L42">
            <v>1250546</v>
          </cell>
          <cell r="Q42" t="str">
            <v>TOTAL</v>
          </cell>
          <cell r="R42">
            <v>6612948</v>
          </cell>
          <cell r="S42">
            <v>12238786</v>
          </cell>
          <cell r="T42">
            <v>18851734</v>
          </cell>
          <cell r="U42" t="str">
            <v>TOTAL</v>
          </cell>
          <cell r="V42">
            <v>1964957</v>
          </cell>
          <cell r="W42">
            <v>4460845</v>
          </cell>
          <cell r="X42">
            <v>6425802</v>
          </cell>
          <cell r="AC42" t="str">
            <v>-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FILE:CAVAL08</v>
          </cell>
          <cell r="AI42" t="str">
            <v>TAX YEAR  08</v>
          </cell>
          <cell r="AM42" t="str">
            <v>FINAL</v>
          </cell>
          <cell r="BA42" t="str">
            <v>TOTAL</v>
          </cell>
          <cell r="BB42">
            <v>24052235</v>
          </cell>
          <cell r="BC42">
            <v>2217426</v>
          </cell>
          <cell r="BD42">
            <v>26269661</v>
          </cell>
          <cell r="BE42" t="str">
            <v>TOTAL</v>
          </cell>
          <cell r="BF42">
            <v>762660</v>
          </cell>
          <cell r="BG42">
            <v>16163919</v>
          </cell>
          <cell r="BH42">
            <v>16926579</v>
          </cell>
          <cell r="CA42" t="str">
            <v>FINAL</v>
          </cell>
          <cell r="CC42" t="str">
            <v>TOTAL</v>
          </cell>
          <cell r="CD42">
            <v>295116</v>
          </cell>
          <cell r="CE42">
            <v>1059464</v>
          </cell>
          <cell r="CF42">
            <v>1354580</v>
          </cell>
          <cell r="CG42" t="str">
            <v>TOTAL</v>
          </cell>
          <cell r="CH42">
            <v>546930</v>
          </cell>
          <cell r="CI42">
            <v>2872673</v>
          </cell>
          <cell r="CJ42">
            <v>3419603</v>
          </cell>
          <cell r="CK42" t="str">
            <v>TOTAL</v>
          </cell>
          <cell r="CL42">
            <v>44912</v>
          </cell>
          <cell r="CM42">
            <v>610022</v>
          </cell>
          <cell r="CN42">
            <v>654934</v>
          </cell>
          <cell r="CO42" t="str">
            <v>TOTAL</v>
          </cell>
          <cell r="CP42">
            <v>1366197</v>
          </cell>
          <cell r="CQ42">
            <v>6296328</v>
          </cell>
          <cell r="CR42">
            <v>7662525</v>
          </cell>
          <cell r="CS42" t="str">
            <v>-</v>
          </cell>
          <cell r="CT42" t="str">
            <v>-</v>
          </cell>
          <cell r="CU42" t="str">
            <v>-</v>
          </cell>
          <cell r="CV42" t="str">
            <v>-</v>
          </cell>
          <cell r="CW42" t="str">
            <v>-</v>
          </cell>
          <cell r="CX42" t="str">
            <v>-</v>
          </cell>
          <cell r="CY42" t="str">
            <v>-</v>
          </cell>
          <cell r="CZ42" t="str">
            <v>-</v>
          </cell>
          <cell r="DA42" t="str">
            <v>TOTAL</v>
          </cell>
          <cell r="DB42">
            <v>82222</v>
          </cell>
          <cell r="DC42">
            <v>0</v>
          </cell>
          <cell r="DD42">
            <v>82222</v>
          </cell>
          <cell r="DI42" t="str">
            <v>TOTAL</v>
          </cell>
          <cell r="DJ42">
            <v>1876407</v>
          </cell>
          <cell r="DK42">
            <v>1192198</v>
          </cell>
          <cell r="DL42">
            <v>3068605</v>
          </cell>
          <cell r="DM42" t="str">
            <v>TOTAL</v>
          </cell>
          <cell r="DN42">
            <v>42087728</v>
          </cell>
          <cell r="DO42">
            <v>62860287</v>
          </cell>
          <cell r="DP42">
            <v>104948015</v>
          </cell>
          <cell r="DQ42" t="str">
            <v>TOTAL</v>
          </cell>
          <cell r="DR42">
            <v>14748485</v>
          </cell>
          <cell r="DS42">
            <v>3446514</v>
          </cell>
          <cell r="DT42">
            <v>18194999</v>
          </cell>
          <cell r="DU42" t="str">
            <v>FILE:CAVAL08</v>
          </cell>
          <cell r="DW42" t="str">
            <v>TAX YEAR  08</v>
          </cell>
          <cell r="DY42" t="str">
            <v>-</v>
          </cell>
          <cell r="DZ42" t="str">
            <v>-</v>
          </cell>
          <cell r="EA42" t="str">
            <v>-</v>
          </cell>
          <cell r="EB42" t="str">
            <v>-</v>
          </cell>
          <cell r="ED42" t="str">
            <v>SOCORRO</v>
          </cell>
          <cell r="EE42">
            <v>33514707</v>
          </cell>
          <cell r="EF42">
            <v>187806722</v>
          </cell>
        </row>
        <row r="43">
          <cell r="A43" t="str">
            <v>GRAND TOTAL</v>
          </cell>
          <cell r="B43">
            <v>479076818</v>
          </cell>
          <cell r="C43">
            <v>13497015187</v>
          </cell>
          <cell r="D43">
            <v>13976092005</v>
          </cell>
          <cell r="U43" t="str">
            <v>-</v>
          </cell>
          <cell r="V43" t="str">
            <v>-</v>
          </cell>
          <cell r="W43" t="str">
            <v>-</v>
          </cell>
          <cell r="X43" t="str">
            <v>-</v>
          </cell>
          <cell r="AC43" t="str">
            <v>GRAND TOTAL</v>
          </cell>
          <cell r="AD43">
            <v>195264526</v>
          </cell>
          <cell r="AE43">
            <v>3261915864</v>
          </cell>
          <cell r="AF43">
            <v>3457180390</v>
          </cell>
          <cell r="AI43" t="str">
            <v>FINAL</v>
          </cell>
          <cell r="CG43" t="str">
            <v>-</v>
          </cell>
          <cell r="CH43" t="str">
            <v>-</v>
          </cell>
          <cell r="CI43" t="str">
            <v>-</v>
          </cell>
          <cell r="CJ43" t="str">
            <v>-</v>
          </cell>
          <cell r="CS43" t="str">
            <v>GRAND TOTAL</v>
          </cell>
          <cell r="CT43">
            <v>963208924</v>
          </cell>
          <cell r="CU43">
            <v>1553930638</v>
          </cell>
          <cell r="CV43">
            <v>2517139562</v>
          </cell>
          <cell r="CW43" t="str">
            <v>GRAND TOTAL</v>
          </cell>
          <cell r="CX43">
            <v>25907747</v>
          </cell>
          <cell r="CY43">
            <v>417106727</v>
          </cell>
          <cell r="CZ43">
            <v>443014474</v>
          </cell>
          <cell r="DA43" t="str">
            <v>-</v>
          </cell>
          <cell r="DB43" t="str">
            <v>-</v>
          </cell>
          <cell r="DC43" t="str">
            <v>-</v>
          </cell>
          <cell r="DD43" t="str">
            <v>-</v>
          </cell>
          <cell r="DI43" t="str">
            <v>-</v>
          </cell>
          <cell r="DW43" t="str">
            <v>FINAL</v>
          </cell>
          <cell r="DY43" t="str">
            <v>GRAND TOTAL</v>
          </cell>
          <cell r="DZ43">
            <v>69286909</v>
          </cell>
          <cell r="EA43">
            <v>990215566</v>
          </cell>
          <cell r="EB43">
            <v>1059502475</v>
          </cell>
        </row>
        <row r="44">
          <cell r="A44" t="str">
            <v>=</v>
          </cell>
          <cell r="B44" t="str">
            <v>=</v>
          </cell>
          <cell r="C44" t="str">
            <v>=</v>
          </cell>
          <cell r="D44" t="str">
            <v>=</v>
          </cell>
          <cell r="I44" t="str">
            <v>20-OUT NON-RES</v>
          </cell>
          <cell r="J44">
            <v>4191497</v>
          </cell>
          <cell r="K44">
            <v>6188835</v>
          </cell>
          <cell r="L44">
            <v>10380332</v>
          </cell>
          <cell r="Q44" t="str">
            <v>26-IN NON-RES</v>
          </cell>
          <cell r="R44">
            <v>317737</v>
          </cell>
          <cell r="S44">
            <v>236608</v>
          </cell>
          <cell r="T44">
            <v>554345</v>
          </cell>
          <cell r="U44" t="str">
            <v>TOTAL NON-RES</v>
          </cell>
          <cell r="V44">
            <v>73894085</v>
          </cell>
          <cell r="W44">
            <v>187638202</v>
          </cell>
          <cell r="X44">
            <v>261532287</v>
          </cell>
          <cell r="AC44" t="str">
            <v>=</v>
          </cell>
          <cell r="AD44" t="str">
            <v>=</v>
          </cell>
          <cell r="AE44" t="str">
            <v>=</v>
          </cell>
          <cell r="AF44" t="str">
            <v>=</v>
          </cell>
          <cell r="BA44" t="str">
            <v>28-IN  NON-RES</v>
          </cell>
          <cell r="BB44">
            <v>720151</v>
          </cell>
          <cell r="BC44">
            <v>3616827</v>
          </cell>
          <cell r="BD44">
            <v>4336978</v>
          </cell>
          <cell r="CC44" t="str">
            <v>34-OUT NON-RES</v>
          </cell>
          <cell r="CD44">
            <v>4056764</v>
          </cell>
          <cell r="CE44">
            <v>3585213</v>
          </cell>
          <cell r="CF44">
            <v>7641977</v>
          </cell>
          <cell r="CG44" t="str">
            <v>TOTAL NON-RES</v>
          </cell>
          <cell r="CH44">
            <v>115308724</v>
          </cell>
          <cell r="CI44">
            <v>146865845</v>
          </cell>
          <cell r="CJ44">
            <v>262174569</v>
          </cell>
          <cell r="CK44" t="str">
            <v>39-OUT NON-RES</v>
          </cell>
          <cell r="CL44">
            <v>5434048</v>
          </cell>
          <cell r="CM44">
            <v>6309723</v>
          </cell>
          <cell r="CN44">
            <v>11743771</v>
          </cell>
          <cell r="CO44" t="str">
            <v>20-OUT NON-RES</v>
          </cell>
          <cell r="CP44">
            <v>24533987</v>
          </cell>
          <cell r="CQ44">
            <v>5953835</v>
          </cell>
          <cell r="CR44">
            <v>30487822</v>
          </cell>
          <cell r="CS44" t="str">
            <v>=</v>
          </cell>
          <cell r="CT44" t="str">
            <v>=</v>
          </cell>
          <cell r="CU44" t="str">
            <v>=</v>
          </cell>
          <cell r="CV44" t="str">
            <v>=</v>
          </cell>
          <cell r="CW44" t="str">
            <v>=</v>
          </cell>
          <cell r="CX44" t="str">
            <v>=</v>
          </cell>
          <cell r="CY44" t="str">
            <v>=</v>
          </cell>
          <cell r="CZ44" t="str">
            <v>=</v>
          </cell>
          <cell r="DA44" t="str">
            <v>TOTAL NON-RES</v>
          </cell>
          <cell r="DB44">
            <v>106516551</v>
          </cell>
          <cell r="DC44">
            <v>1670045147</v>
          </cell>
          <cell r="DD44">
            <v>1776561698</v>
          </cell>
          <cell r="DI44" t="str">
            <v>TOTAL NON-RES</v>
          </cell>
          <cell r="DJ44">
            <v>33514707</v>
          </cell>
          <cell r="DK44">
            <v>75976471</v>
          </cell>
          <cell r="DL44">
            <v>109491178</v>
          </cell>
          <cell r="DM44" t="str">
            <v>8-18I NON-RES</v>
          </cell>
          <cell r="DN44">
            <v>113184</v>
          </cell>
          <cell r="DO44">
            <v>13990108</v>
          </cell>
          <cell r="DP44">
            <v>14103292</v>
          </cell>
          <cell r="DY44" t="str">
            <v>=</v>
          </cell>
          <cell r="DZ44" t="str">
            <v>=</v>
          </cell>
          <cell r="EA44" t="str">
            <v>=</v>
          </cell>
          <cell r="EB44" t="str">
            <v>=</v>
          </cell>
          <cell r="ED44" t="str">
            <v>TAOS</v>
          </cell>
          <cell r="EE44">
            <v>73216913</v>
          </cell>
          <cell r="EF44">
            <v>1095331276</v>
          </cell>
        </row>
        <row r="45">
          <cell r="A45" t="str">
            <v>FILE:CAVAL08</v>
          </cell>
          <cell r="C45" t="str">
            <v>TOTAL 2008</v>
          </cell>
          <cell r="I45" t="str">
            <v>20-OUT RESIDENTIAL</v>
          </cell>
          <cell r="K45">
            <v>1227599</v>
          </cell>
          <cell r="L45">
            <v>1227599</v>
          </cell>
          <cell r="Q45" t="str">
            <v>26-IN RESIDENTIAL</v>
          </cell>
          <cell r="R45">
            <v>0</v>
          </cell>
          <cell r="S45">
            <v>1572330</v>
          </cell>
          <cell r="T45">
            <v>1572330</v>
          </cell>
          <cell r="U45" t="str">
            <v>TOTAL RESIDENTIAL</v>
          </cell>
          <cell r="V45">
            <v>0</v>
          </cell>
          <cell r="W45">
            <v>332666600</v>
          </cell>
          <cell r="X45">
            <v>332666600</v>
          </cell>
          <cell r="AC45" t="str">
            <v>FILE:CAVAL08</v>
          </cell>
          <cell r="AE45" t="str">
            <v>TAX YEAR  08</v>
          </cell>
          <cell r="BA45" t="str">
            <v>28-IN  RESIDENTIAL</v>
          </cell>
          <cell r="BB45">
            <v>0</v>
          </cell>
          <cell r="BC45">
            <v>740056</v>
          </cell>
          <cell r="BD45">
            <v>740056</v>
          </cell>
          <cell r="BE45" t="str">
            <v>28-OUT NON-RES</v>
          </cell>
          <cell r="BF45">
            <v>5065271</v>
          </cell>
          <cell r="BG45">
            <v>43610909</v>
          </cell>
          <cell r="BH45">
            <v>48676180</v>
          </cell>
          <cell r="CC45" t="str">
            <v>34-OUT RESIDENTIAL</v>
          </cell>
          <cell r="CE45">
            <v>1727393</v>
          </cell>
          <cell r="CF45">
            <v>1727393</v>
          </cell>
          <cell r="CG45" t="str">
            <v>TOTAL RESIDENTIAL</v>
          </cell>
          <cell r="CH45">
            <v>0</v>
          </cell>
          <cell r="CI45">
            <v>390069944</v>
          </cell>
          <cell r="CJ45">
            <v>390069944</v>
          </cell>
          <cell r="CK45" t="str">
            <v>39-OUT RESIDENTIAL</v>
          </cell>
          <cell r="CL45">
            <v>0</v>
          </cell>
          <cell r="CM45">
            <v>3252318</v>
          </cell>
          <cell r="CN45">
            <v>3252318</v>
          </cell>
          <cell r="CO45" t="str">
            <v>20-OUT RESIDENTIAL</v>
          </cell>
          <cell r="CQ45">
            <v>10094630</v>
          </cell>
          <cell r="CR45">
            <v>10094630</v>
          </cell>
          <cell r="CS45" t="str">
            <v>FILE:CAVAL08</v>
          </cell>
          <cell r="CU45" t="str">
            <v>TAX YEAR  08</v>
          </cell>
          <cell r="CW45" t="str">
            <v>FILE:CAVAL08</v>
          </cell>
          <cell r="CY45" t="str">
            <v>TAX YEAR  08</v>
          </cell>
          <cell r="DA45" t="str">
            <v>TOTAL RESIDENTIAL</v>
          </cell>
          <cell r="DB45">
            <v>0</v>
          </cell>
          <cell r="DC45">
            <v>4774246950</v>
          </cell>
          <cell r="DD45">
            <v>4774246950</v>
          </cell>
          <cell r="DI45" t="str">
            <v>TOTAL RESIDENTIAL</v>
          </cell>
          <cell r="DJ45">
            <v>0</v>
          </cell>
          <cell r="DK45">
            <v>111830251</v>
          </cell>
          <cell r="DL45">
            <v>111830251</v>
          </cell>
          <cell r="DM45" t="str">
            <v>8-181 RESIDENTIAL</v>
          </cell>
          <cell r="DO45">
            <v>31111258</v>
          </cell>
          <cell r="DP45">
            <v>31111258</v>
          </cell>
          <cell r="DQ45" t="str">
            <v>20/35  NON-RES</v>
          </cell>
          <cell r="DR45">
            <v>1819037</v>
          </cell>
          <cell r="DS45">
            <v>1873941</v>
          </cell>
          <cell r="DT45">
            <v>3692978</v>
          </cell>
          <cell r="DY45">
            <v>0</v>
          </cell>
          <cell r="EA45">
            <v>0</v>
          </cell>
          <cell r="ED45" t="str">
            <v>TORRANCE</v>
          </cell>
          <cell r="EE45">
            <v>73421001</v>
          </cell>
          <cell r="EF45">
            <v>219846810</v>
          </cell>
        </row>
        <row r="46">
          <cell r="C46" t="str">
            <v>FINAL</v>
          </cell>
          <cell r="I46" t="str">
            <v>TOTAL</v>
          </cell>
          <cell r="J46">
            <v>4191497</v>
          </cell>
          <cell r="K46">
            <v>7416434</v>
          </cell>
          <cell r="L46">
            <v>11607931</v>
          </cell>
          <cell r="Q46" t="str">
            <v>TOTAL</v>
          </cell>
          <cell r="R46">
            <v>317737</v>
          </cell>
          <cell r="S46">
            <v>1808938</v>
          </cell>
          <cell r="T46">
            <v>2126675</v>
          </cell>
          <cell r="U46" t="str">
            <v>-</v>
          </cell>
          <cell r="V46" t="str">
            <v>-</v>
          </cell>
          <cell r="W46" t="str">
            <v>-</v>
          </cell>
          <cell r="X46" t="str">
            <v>-</v>
          </cell>
          <cell r="AE46" t="str">
            <v>FINAL</v>
          </cell>
          <cell r="BA46" t="str">
            <v>TOTAL</v>
          </cell>
          <cell r="BB46">
            <v>720151</v>
          </cell>
          <cell r="BC46">
            <v>4356883</v>
          </cell>
          <cell r="BD46">
            <v>5077034</v>
          </cell>
          <cell r="BE46" t="str">
            <v>28-OUT RESIDENTIAL</v>
          </cell>
          <cell r="BG46">
            <v>227728546</v>
          </cell>
          <cell r="BH46">
            <v>227728546</v>
          </cell>
          <cell r="CC46" t="str">
            <v>TOTAL</v>
          </cell>
          <cell r="CD46">
            <v>4056764</v>
          </cell>
          <cell r="CE46">
            <v>5312606</v>
          </cell>
          <cell r="CF46">
            <v>9369370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TOTAL</v>
          </cell>
          <cell r="CL46">
            <v>5434048</v>
          </cell>
          <cell r="CM46">
            <v>9562041</v>
          </cell>
          <cell r="CN46">
            <v>14996089</v>
          </cell>
          <cell r="CO46" t="str">
            <v>TOTAL</v>
          </cell>
          <cell r="CP46">
            <v>24533987</v>
          </cell>
          <cell r="CQ46">
            <v>16048465</v>
          </cell>
          <cell r="CR46">
            <v>40582452</v>
          </cell>
          <cell r="CU46" t="str">
            <v>FINAL</v>
          </cell>
          <cell r="CY46" t="str">
            <v>FINAL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TOTAL</v>
          </cell>
          <cell r="DN46">
            <v>113184</v>
          </cell>
          <cell r="DO46">
            <v>45101366</v>
          </cell>
          <cell r="DP46">
            <v>45214550</v>
          </cell>
          <cell r="DQ46" t="str">
            <v>20/35  RESIDENTIAL</v>
          </cell>
          <cell r="DR46">
            <v>0</v>
          </cell>
          <cell r="DS46">
            <v>825409</v>
          </cell>
          <cell r="DT46">
            <v>825409</v>
          </cell>
          <cell r="EA46" t="str">
            <v>FINAL</v>
          </cell>
          <cell r="ED46" t="str">
            <v>UNION</v>
          </cell>
          <cell r="EE46">
            <v>29200306</v>
          </cell>
          <cell r="EF46">
            <v>79600582</v>
          </cell>
        </row>
        <row r="47">
          <cell r="BE47" t="str">
            <v>TOTAL</v>
          </cell>
          <cell r="BF47">
            <v>5065271</v>
          </cell>
          <cell r="BG47">
            <v>271339455</v>
          </cell>
          <cell r="BH47">
            <v>276404726</v>
          </cell>
          <cell r="DM47" t="str">
            <v>-</v>
          </cell>
          <cell r="DQ47" t="str">
            <v>TOTAL</v>
          </cell>
          <cell r="DR47">
            <v>1819037</v>
          </cell>
          <cell r="DS47">
            <v>2699350</v>
          </cell>
          <cell r="DT47">
            <v>4518387</v>
          </cell>
          <cell r="ED47" t="str">
            <v>VALENCIA</v>
          </cell>
          <cell r="EE47">
            <v>69286909</v>
          </cell>
          <cell r="EF47">
            <v>754884061</v>
          </cell>
        </row>
        <row r="48">
          <cell r="U48" t="str">
            <v>GRAND TOTAL</v>
          </cell>
          <cell r="V48">
            <v>73894085</v>
          </cell>
          <cell r="W48">
            <v>520304802</v>
          </cell>
          <cell r="X48">
            <v>594198887</v>
          </cell>
          <cell r="BE48" t="str">
            <v>-</v>
          </cell>
          <cell r="BF48" t="str">
            <v>-</v>
          </cell>
          <cell r="BG48" t="str">
            <v>-</v>
          </cell>
          <cell r="BH48" t="str">
            <v>-</v>
          </cell>
          <cell r="CG48" t="str">
            <v>GRAND TOTAL</v>
          </cell>
          <cell r="CH48">
            <v>115308724</v>
          </cell>
          <cell r="CI48">
            <v>536935789</v>
          </cell>
          <cell r="CJ48">
            <v>652244513</v>
          </cell>
          <cell r="DA48" t="str">
            <v>GRAND TOTAL</v>
          </cell>
          <cell r="DB48">
            <v>106516551</v>
          </cell>
          <cell r="DC48">
            <v>6444292097</v>
          </cell>
          <cell r="DD48">
            <v>6550808648</v>
          </cell>
          <cell r="DI48" t="str">
            <v>GRAND TOTAL</v>
          </cell>
          <cell r="DJ48">
            <v>33514707</v>
          </cell>
          <cell r="DK48">
            <v>187806722</v>
          </cell>
          <cell r="DL48">
            <v>221321429</v>
          </cell>
          <cell r="DM48" t="str">
            <v>TOTAL NON-RES</v>
          </cell>
          <cell r="DN48">
            <v>73216913</v>
          </cell>
          <cell r="DO48">
            <v>379355431</v>
          </cell>
          <cell r="DP48">
            <v>452572344</v>
          </cell>
          <cell r="DQ48" t="str">
            <v>-</v>
          </cell>
          <cell r="DR48" t="str">
            <v>-</v>
          </cell>
          <cell r="DS48" t="str">
            <v>-</v>
          </cell>
          <cell r="DT48" t="str">
            <v>-</v>
          </cell>
        </row>
        <row r="49">
          <cell r="I49" t="str">
            <v>14  NON-RES</v>
          </cell>
          <cell r="J49">
            <v>2563818</v>
          </cell>
          <cell r="K49">
            <v>3213488</v>
          </cell>
          <cell r="L49">
            <v>5777306</v>
          </cell>
          <cell r="Q49" t="str">
            <v>26-OUT NON-RES</v>
          </cell>
          <cell r="R49">
            <v>5812071</v>
          </cell>
          <cell r="S49">
            <v>1699203</v>
          </cell>
          <cell r="T49">
            <v>7511274</v>
          </cell>
          <cell r="U49" t="str">
            <v>=</v>
          </cell>
          <cell r="V49" t="str">
            <v>=</v>
          </cell>
          <cell r="W49" t="str">
            <v>=</v>
          </cell>
          <cell r="X49" t="str">
            <v>=</v>
          </cell>
          <cell r="BA49" t="str">
            <v>28-OUT NON-RES</v>
          </cell>
          <cell r="BB49">
            <v>24588118</v>
          </cell>
          <cell r="BC49">
            <v>5713769</v>
          </cell>
          <cell r="BD49">
            <v>30301887</v>
          </cell>
          <cell r="BE49" t="str">
            <v>TOTAL NON-RES</v>
          </cell>
          <cell r="BF49">
            <v>55761446</v>
          </cell>
          <cell r="BG49">
            <v>188683087</v>
          </cell>
          <cell r="BH49">
            <v>244444533</v>
          </cell>
          <cell r="CC49" t="str">
            <v>23/47 NON-RES</v>
          </cell>
          <cell r="CD49">
            <v>116142</v>
          </cell>
          <cell r="CE49">
            <v>331856</v>
          </cell>
          <cell r="CF49">
            <v>447998</v>
          </cell>
          <cell r="CG49" t="str">
            <v>=</v>
          </cell>
          <cell r="CH49" t="str">
            <v>=</v>
          </cell>
          <cell r="CI49" t="str">
            <v>=</v>
          </cell>
          <cell r="CJ49" t="str">
            <v>=</v>
          </cell>
          <cell r="CK49" t="str">
            <v>39-A-IN  NON-RES</v>
          </cell>
          <cell r="CL49">
            <v>126264</v>
          </cell>
          <cell r="CM49">
            <v>492554</v>
          </cell>
          <cell r="CN49">
            <v>618818</v>
          </cell>
          <cell r="CO49" t="str">
            <v>31-IN  NON-RES J S</v>
          </cell>
          <cell r="CP49">
            <v>2447805</v>
          </cell>
          <cell r="CQ49">
            <v>1975600</v>
          </cell>
          <cell r="CR49">
            <v>4423405</v>
          </cell>
          <cell r="DA49" t="str">
            <v>=</v>
          </cell>
          <cell r="DB49" t="str">
            <v>=</v>
          </cell>
          <cell r="DC49" t="str">
            <v>=</v>
          </cell>
          <cell r="DD49" t="str">
            <v>=</v>
          </cell>
          <cell r="DI49" t="str">
            <v>=</v>
          </cell>
          <cell r="DJ49" t="str">
            <v>=</v>
          </cell>
          <cell r="DK49" t="str">
            <v>=</v>
          </cell>
          <cell r="DL49" t="str">
            <v>=</v>
          </cell>
          <cell r="DM49" t="str">
            <v>TOTAL RESIDENTIAL</v>
          </cell>
          <cell r="DO49">
            <v>715975845</v>
          </cell>
          <cell r="DP49">
            <v>715975845</v>
          </cell>
          <cell r="DQ49" t="str">
            <v>TOTAL NON-RES</v>
          </cell>
          <cell r="DR49">
            <v>73421001</v>
          </cell>
          <cell r="DS49">
            <v>97131274</v>
          </cell>
          <cell r="DT49">
            <v>170552275</v>
          </cell>
          <cell r="ED49" t="str">
            <v>TOTAL</v>
          </cell>
          <cell r="EE49">
            <v>4068981092</v>
          </cell>
          <cell r="EF49">
            <v>39045505057</v>
          </cell>
        </row>
        <row r="50">
          <cell r="I50" t="str">
            <v>14  RESIDENTIAL</v>
          </cell>
          <cell r="K50">
            <v>1503077</v>
          </cell>
          <cell r="L50">
            <v>1503077</v>
          </cell>
          <cell r="Q50" t="str">
            <v>26-OUT RESIDENTIAL</v>
          </cell>
          <cell r="S50">
            <v>2122376</v>
          </cell>
          <cell r="T50">
            <v>2122376</v>
          </cell>
          <cell r="U50" t="str">
            <v>FILE:CAVAL08</v>
          </cell>
          <cell r="W50" t="str">
            <v>TAX YEAR  08</v>
          </cell>
          <cell r="BA50" t="str">
            <v>28-OUT RESIDENTIAL</v>
          </cell>
          <cell r="BB50">
            <v>0</v>
          </cell>
          <cell r="BC50">
            <v>2442505</v>
          </cell>
          <cell r="BD50">
            <v>2442505</v>
          </cell>
          <cell r="BE50" t="str">
            <v>TOTAL RESIDENTIAL</v>
          </cell>
          <cell r="BF50">
            <v>0</v>
          </cell>
          <cell r="BG50">
            <v>645240354</v>
          </cell>
          <cell r="BH50">
            <v>645240354</v>
          </cell>
          <cell r="CC50" t="str">
            <v>23/47 RESIDENTIAL</v>
          </cell>
          <cell r="CE50">
            <v>199054</v>
          </cell>
          <cell r="CF50">
            <v>199054</v>
          </cell>
          <cell r="CG50" t="str">
            <v>FILE:CAVAL08</v>
          </cell>
          <cell r="CI50" t="str">
            <v>TAX YEAR  08</v>
          </cell>
          <cell r="CK50" t="str">
            <v>39-A-IN RESIDENTIAL</v>
          </cell>
          <cell r="CL50">
            <v>0</v>
          </cell>
          <cell r="CM50">
            <v>194451</v>
          </cell>
          <cell r="CN50">
            <v>194451</v>
          </cell>
          <cell r="CO50" t="str">
            <v>31-IN RESIDENTIAL</v>
          </cell>
          <cell r="CQ50">
            <v>4350015</v>
          </cell>
          <cell r="CR50">
            <v>4350015</v>
          </cell>
          <cell r="DA50" t="str">
            <v>FILE:CAVAL08</v>
          </cell>
          <cell r="DC50" t="str">
            <v>TAX YEAR  08</v>
          </cell>
          <cell r="DI50" t="str">
            <v>FILE:CAVAL08</v>
          </cell>
          <cell r="DK50" t="str">
            <v>TAX YEAR  08</v>
          </cell>
          <cell r="DM50" t="str">
            <v>-</v>
          </cell>
          <cell r="DN50" t="str">
            <v>-</v>
          </cell>
          <cell r="DO50" t="str">
            <v>-</v>
          </cell>
          <cell r="DP50" t="str">
            <v>-</v>
          </cell>
          <cell r="DQ50" t="str">
            <v>TOTAL RESIDENTIAL</v>
          </cell>
          <cell r="DR50">
            <v>0</v>
          </cell>
          <cell r="DS50">
            <v>122715536</v>
          </cell>
          <cell r="DT50">
            <v>122715536</v>
          </cell>
        </row>
        <row r="51">
          <cell r="I51" t="str">
            <v>TOTAL</v>
          </cell>
          <cell r="J51">
            <v>2563818</v>
          </cell>
          <cell r="K51">
            <v>4716565</v>
          </cell>
          <cell r="L51">
            <v>7280383</v>
          </cell>
          <cell r="Q51" t="str">
            <v>TOTAL</v>
          </cell>
          <cell r="R51">
            <v>5812071</v>
          </cell>
          <cell r="S51">
            <v>3821579</v>
          </cell>
          <cell r="T51">
            <v>9633650</v>
          </cell>
          <cell r="W51" t="str">
            <v>FINAL</v>
          </cell>
          <cell r="BA51" t="str">
            <v>TOTAL</v>
          </cell>
          <cell r="BB51">
            <v>24588118</v>
          </cell>
          <cell r="BC51">
            <v>8156274</v>
          </cell>
          <cell r="BD51">
            <v>32744392</v>
          </cell>
          <cell r="BE51" t="str">
            <v>-</v>
          </cell>
          <cell r="BF51" t="str">
            <v>-</v>
          </cell>
          <cell r="BG51" t="str">
            <v>-</v>
          </cell>
          <cell r="BH51" t="str">
            <v>-</v>
          </cell>
          <cell r="CC51" t="str">
            <v>TOTAL</v>
          </cell>
          <cell r="CD51">
            <v>116142</v>
          </cell>
          <cell r="CE51">
            <v>530910</v>
          </cell>
          <cell r="CF51">
            <v>647052</v>
          </cell>
          <cell r="CI51" t="str">
            <v>FINAL</v>
          </cell>
          <cell r="CK51" t="str">
            <v>TOTAL</v>
          </cell>
          <cell r="CL51">
            <v>126264</v>
          </cell>
          <cell r="CM51">
            <v>687005</v>
          </cell>
          <cell r="CN51">
            <v>813269</v>
          </cell>
          <cell r="CO51" t="str">
            <v>TOTAL</v>
          </cell>
          <cell r="CP51">
            <v>2447805</v>
          </cell>
          <cell r="CQ51">
            <v>6325615</v>
          </cell>
          <cell r="CR51">
            <v>8773420</v>
          </cell>
          <cell r="DK51" t="str">
            <v>FINAL</v>
          </cell>
          <cell r="DM51" t="str">
            <v>GRAND TOTAL</v>
          </cell>
          <cell r="DN51">
            <v>73216913</v>
          </cell>
          <cell r="DO51">
            <v>1095331276</v>
          </cell>
          <cell r="DP51">
            <v>1168548189</v>
          </cell>
          <cell r="DQ51" t="str">
            <v>-</v>
          </cell>
          <cell r="DR51" t="str">
            <v>-</v>
          </cell>
          <cell r="DS51" t="str">
            <v>-</v>
          </cell>
          <cell r="DT51" t="str">
            <v>-</v>
          </cell>
        </row>
        <row r="52">
          <cell r="BA52" t="str">
            <v>-</v>
          </cell>
          <cell r="BB52" t="str">
            <v>-</v>
          </cell>
          <cell r="BC52" t="str">
            <v>-</v>
          </cell>
          <cell r="BD52" t="str">
            <v>-</v>
          </cell>
          <cell r="BE52" t="str">
            <v>GRAND TOTAL</v>
          </cell>
          <cell r="BF52">
            <v>55761446</v>
          </cell>
          <cell r="BG52">
            <v>833923441</v>
          </cell>
          <cell r="BH52">
            <v>889684887</v>
          </cell>
          <cell r="DM52" t="str">
            <v>=</v>
          </cell>
          <cell r="DN52" t="str">
            <v>=</v>
          </cell>
          <cell r="DO52" t="str">
            <v>=</v>
          </cell>
          <cell r="DP52" t="str">
            <v>=</v>
          </cell>
          <cell r="DQ52" t="str">
            <v>GRAND TOTAL</v>
          </cell>
          <cell r="DR52">
            <v>73421001</v>
          </cell>
          <cell r="DS52">
            <v>219846810</v>
          </cell>
          <cell r="DT52">
            <v>293267811</v>
          </cell>
        </row>
        <row r="53">
          <cell r="I53" t="str">
            <v>27/28 NON-RES</v>
          </cell>
          <cell r="J53">
            <v>2066830</v>
          </cell>
          <cell r="K53">
            <v>1287323</v>
          </cell>
          <cell r="L53">
            <v>3354153</v>
          </cell>
          <cell r="Q53" t="str">
            <v>35 NON-RES</v>
          </cell>
          <cell r="R53">
            <v>649125</v>
          </cell>
          <cell r="S53">
            <v>389465</v>
          </cell>
          <cell r="T53">
            <v>1038590</v>
          </cell>
          <cell r="BA53" t="str">
            <v>TOTAL NON-RES</v>
          </cell>
          <cell r="BB53">
            <v>234708617</v>
          </cell>
          <cell r="BC53">
            <v>237369323</v>
          </cell>
          <cell r="BD53">
            <v>472077940</v>
          </cell>
          <cell r="BE53" t="str">
            <v>=</v>
          </cell>
          <cell r="BF53" t="str">
            <v>=</v>
          </cell>
          <cell r="BG53" t="str">
            <v>=</v>
          </cell>
          <cell r="BH53" t="str">
            <v>=</v>
          </cell>
          <cell r="CC53" t="str">
            <v>53 NON-RES</v>
          </cell>
          <cell r="CD53">
            <v>899900</v>
          </cell>
          <cell r="CE53">
            <v>1124170</v>
          </cell>
          <cell r="CF53">
            <v>2024070</v>
          </cell>
          <cell r="CK53" t="str">
            <v>9/53 NON-RES</v>
          </cell>
          <cell r="CL53">
            <v>432711</v>
          </cell>
          <cell r="CM53">
            <v>337080</v>
          </cell>
          <cell r="CN53">
            <v>769791</v>
          </cell>
          <cell r="CO53" t="str">
            <v>31-A-IN  NON-RES S Y</v>
          </cell>
          <cell r="CP53">
            <v>191558</v>
          </cell>
          <cell r="CQ53">
            <v>1072285</v>
          </cell>
          <cell r="CR53">
            <v>1263843</v>
          </cell>
          <cell r="DM53" t="str">
            <v>FILE:CAVAL08</v>
          </cell>
          <cell r="DO53" t="str">
            <v>TAX YEAR  08</v>
          </cell>
          <cell r="DQ53" t="str">
            <v>=</v>
          </cell>
          <cell r="DR53" t="str">
            <v>=</v>
          </cell>
          <cell r="DS53" t="str">
            <v>=</v>
          </cell>
          <cell r="DT53" t="str">
            <v>=</v>
          </cell>
        </row>
        <row r="54">
          <cell r="I54" t="str">
            <v>27/28 RESIDENTIAL</v>
          </cell>
          <cell r="K54">
            <v>401594</v>
          </cell>
          <cell r="L54">
            <v>401594</v>
          </cell>
          <cell r="Q54" t="str">
            <v>35 RESIDENTIAL</v>
          </cell>
          <cell r="S54">
            <v>245261</v>
          </cell>
          <cell r="T54">
            <v>245261</v>
          </cell>
          <cell r="BA54" t="str">
            <v>TOTAL RESIDENTIAL</v>
          </cell>
          <cell r="BB54">
            <v>0</v>
          </cell>
          <cell r="BC54">
            <v>318764172</v>
          </cell>
          <cell r="BD54">
            <v>318764172</v>
          </cell>
          <cell r="BE54" t="str">
            <v>FILE:CAVAL08</v>
          </cell>
          <cell r="BG54" t="str">
            <v>TAX YEAR  08</v>
          </cell>
          <cell r="CC54" t="str">
            <v>53 RESIDENTIAL</v>
          </cell>
          <cell r="CE54">
            <v>696652</v>
          </cell>
          <cell r="CF54">
            <v>696652</v>
          </cell>
          <cell r="CK54" t="str">
            <v>9/53 RESIDENTIAL</v>
          </cell>
          <cell r="CL54">
            <v>0</v>
          </cell>
          <cell r="CM54">
            <v>229472</v>
          </cell>
          <cell r="CN54">
            <v>229472</v>
          </cell>
          <cell r="CO54" t="str">
            <v>31-A-IN RESIDENTIAL</v>
          </cell>
          <cell r="CQ54">
            <v>1349453</v>
          </cell>
          <cell r="CR54">
            <v>1349453</v>
          </cell>
          <cell r="DO54" t="str">
            <v>FINAL</v>
          </cell>
          <cell r="DQ54" t="str">
            <v>FILE:CAVAL08</v>
          </cell>
          <cell r="DS54" t="str">
            <v>TAX YEAR  08</v>
          </cell>
        </row>
        <row r="55">
          <cell r="I55" t="str">
            <v>TOTAL</v>
          </cell>
          <cell r="J55">
            <v>2066830</v>
          </cell>
          <cell r="K55">
            <v>1688917</v>
          </cell>
          <cell r="L55">
            <v>3755747</v>
          </cell>
          <cell r="Q55" t="str">
            <v>TOTAL</v>
          </cell>
          <cell r="R55">
            <v>649125</v>
          </cell>
          <cell r="S55">
            <v>634726</v>
          </cell>
          <cell r="T55">
            <v>1283851</v>
          </cell>
          <cell r="BA55" t="str">
            <v>-</v>
          </cell>
          <cell r="BB55" t="str">
            <v>-</v>
          </cell>
          <cell r="BC55" t="str">
            <v>-</v>
          </cell>
          <cell r="BD55" t="str">
            <v>-</v>
          </cell>
          <cell r="BG55" t="str">
            <v>FINAL</v>
          </cell>
          <cell r="CC55" t="str">
            <v>TOTAL</v>
          </cell>
          <cell r="CD55">
            <v>899900</v>
          </cell>
          <cell r="CE55">
            <v>1820822</v>
          </cell>
          <cell r="CF55">
            <v>2720722</v>
          </cell>
          <cell r="CK55" t="str">
            <v>TOTAL</v>
          </cell>
          <cell r="CL55">
            <v>432711</v>
          </cell>
          <cell r="CM55">
            <v>566552</v>
          </cell>
          <cell r="CN55">
            <v>999263</v>
          </cell>
          <cell r="CO55" t="str">
            <v>TOTAL</v>
          </cell>
          <cell r="CP55">
            <v>191558</v>
          </cell>
          <cell r="CQ55">
            <v>2421738</v>
          </cell>
          <cell r="CR55">
            <v>2613296</v>
          </cell>
          <cell r="DS55" t="str">
            <v>FINAL</v>
          </cell>
        </row>
        <row r="56"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BA56" t="str">
            <v>GRAND TOTAL</v>
          </cell>
          <cell r="BB56">
            <v>234708617</v>
          </cell>
          <cell r="BC56">
            <v>556133495</v>
          </cell>
          <cell r="BD56">
            <v>790842112</v>
          </cell>
          <cell r="CC56" t="str">
            <v>-</v>
          </cell>
          <cell r="CD56" t="str">
            <v>-</v>
          </cell>
          <cell r="CE56" t="str">
            <v>-</v>
          </cell>
          <cell r="CF56" t="str">
            <v>-</v>
          </cell>
        </row>
        <row r="57">
          <cell r="I57" t="str">
            <v>TOTAL NON-RES</v>
          </cell>
          <cell r="J57">
            <v>111517485</v>
          </cell>
          <cell r="K57">
            <v>299879368</v>
          </cell>
          <cell r="L57">
            <v>411396853</v>
          </cell>
          <cell r="Q57" t="str">
            <v>TOTAL NON-RES</v>
          </cell>
          <cell r="R57">
            <v>43286583</v>
          </cell>
          <cell r="S57">
            <v>186588444</v>
          </cell>
          <cell r="T57">
            <v>229875027</v>
          </cell>
          <cell r="BA57" t="str">
            <v>=</v>
          </cell>
          <cell r="BB57" t="str">
            <v>=</v>
          </cell>
          <cell r="BC57" t="str">
            <v>=</v>
          </cell>
          <cell r="BD57" t="str">
            <v>=</v>
          </cell>
          <cell r="CC57" t="str">
            <v>TOTAL NON-RES</v>
          </cell>
          <cell r="CD57">
            <v>30077751</v>
          </cell>
          <cell r="CE57">
            <v>42342164</v>
          </cell>
          <cell r="CF57">
            <v>72419915</v>
          </cell>
          <cell r="CK57" t="str">
            <v>9-A  NON-RES</v>
          </cell>
          <cell r="CL57">
            <v>3161786</v>
          </cell>
          <cell r="CM57">
            <v>413620</v>
          </cell>
          <cell r="CN57">
            <v>3575406</v>
          </cell>
          <cell r="CO57" t="str">
            <v>31-OUT  NON-RES</v>
          </cell>
          <cell r="CP57">
            <v>13313929</v>
          </cell>
          <cell r="CQ57">
            <v>13685635</v>
          </cell>
          <cell r="CR57">
            <v>26999564</v>
          </cell>
        </row>
        <row r="58">
          <cell r="I58" t="str">
            <v>TOTAL RESIDENTIAL</v>
          </cell>
          <cell r="J58">
            <v>0</v>
          </cell>
          <cell r="K58">
            <v>457187204</v>
          </cell>
          <cell r="L58">
            <v>457187204</v>
          </cell>
          <cell r="Q58" t="str">
            <v>TOTAL RESIDENTIAL</v>
          </cell>
          <cell r="R58">
            <v>0</v>
          </cell>
          <cell r="S58">
            <v>324821465</v>
          </cell>
          <cell r="T58">
            <v>324821465</v>
          </cell>
          <cell r="BA58" t="str">
            <v>FILE:CAVAL08</v>
          </cell>
          <cell r="CC58" t="str">
            <v>TOTAL RESIDENTIAL</v>
          </cell>
          <cell r="CD58">
            <v>0</v>
          </cell>
          <cell r="CE58">
            <v>66983005</v>
          </cell>
          <cell r="CF58">
            <v>66983005</v>
          </cell>
          <cell r="CK58" t="str">
            <v>9-A  RESIDENTIAL</v>
          </cell>
          <cell r="CL58">
            <v>0</v>
          </cell>
          <cell r="CM58">
            <v>223988</v>
          </cell>
          <cell r="CN58">
            <v>223988</v>
          </cell>
          <cell r="CO58" t="str">
            <v>31-OUT  RESIDENTIAL</v>
          </cell>
          <cell r="CQ58">
            <v>37280689</v>
          </cell>
          <cell r="CR58">
            <v>37280689</v>
          </cell>
        </row>
        <row r="59">
          <cell r="I59" t="str">
            <v>-</v>
          </cell>
          <cell r="J59" t="str">
            <v>-</v>
          </cell>
          <cell r="K59" t="str">
            <v>-</v>
          </cell>
          <cell r="L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CC59" t="str">
            <v>-</v>
          </cell>
          <cell r="CD59" t="str">
            <v>-</v>
          </cell>
          <cell r="CE59" t="str">
            <v>-</v>
          </cell>
          <cell r="CF59" t="str">
            <v>-</v>
          </cell>
          <cell r="CK59" t="str">
            <v>TOTAL</v>
          </cell>
          <cell r="CL59">
            <v>3161786</v>
          </cell>
          <cell r="CM59">
            <v>637608</v>
          </cell>
          <cell r="CN59">
            <v>3799394</v>
          </cell>
          <cell r="CO59" t="str">
            <v>TOTAL</v>
          </cell>
          <cell r="CP59">
            <v>13313929</v>
          </cell>
          <cell r="CQ59">
            <v>50966324</v>
          </cell>
          <cell r="CR59">
            <v>64280253</v>
          </cell>
        </row>
        <row r="60">
          <cell r="I60" t="str">
            <v>GRAND TOTAL</v>
          </cell>
          <cell r="J60">
            <v>111517485</v>
          </cell>
          <cell r="K60">
            <v>757066572</v>
          </cell>
          <cell r="L60">
            <v>868584057</v>
          </cell>
          <cell r="Q60" t="str">
            <v>GRAND TOTAL</v>
          </cell>
          <cell r="R60">
            <v>43286583</v>
          </cell>
          <cell r="S60">
            <v>511409909</v>
          </cell>
          <cell r="T60">
            <v>554696492</v>
          </cell>
          <cell r="CC60" t="str">
            <v>GRAND TOTAL</v>
          </cell>
          <cell r="CD60">
            <v>30077751</v>
          </cell>
          <cell r="CE60">
            <v>109325169</v>
          </cell>
          <cell r="CF60">
            <v>139402920</v>
          </cell>
          <cell r="CK60" t="str">
            <v>-</v>
          </cell>
          <cell r="CL60" t="str">
            <v>-</v>
          </cell>
          <cell r="CM60" t="str">
            <v>-</v>
          </cell>
          <cell r="CN60" t="str">
            <v>-</v>
          </cell>
          <cell r="CO60" t="str">
            <v>-</v>
          </cell>
          <cell r="CP60" t="str">
            <v>-</v>
          </cell>
          <cell r="CQ60" t="str">
            <v>-</v>
          </cell>
          <cell r="CR60" t="str">
            <v>-</v>
          </cell>
        </row>
        <row r="61">
          <cell r="I61" t="str">
            <v>=</v>
          </cell>
          <cell r="J61" t="str">
            <v>=</v>
          </cell>
          <cell r="K61" t="str">
            <v>=</v>
          </cell>
          <cell r="L61" t="str">
            <v>=</v>
          </cell>
          <cell r="Q61" t="str">
            <v>=</v>
          </cell>
          <cell r="R61" t="str">
            <v>=</v>
          </cell>
          <cell r="S61" t="str">
            <v>=</v>
          </cell>
          <cell r="T61" t="str">
            <v>=</v>
          </cell>
          <cell r="CC61" t="str">
            <v>=</v>
          </cell>
          <cell r="CD61" t="str">
            <v>=</v>
          </cell>
          <cell r="CE61" t="str">
            <v>=</v>
          </cell>
          <cell r="CF61" t="str">
            <v>=</v>
          </cell>
          <cell r="CK61" t="str">
            <v>TOTAL NON-RES</v>
          </cell>
          <cell r="CL61">
            <v>43635121</v>
          </cell>
          <cell r="CM61">
            <v>98937108</v>
          </cell>
          <cell r="CN61">
            <v>142572229</v>
          </cell>
          <cell r="CO61" t="str">
            <v>TOTAL NON-RES</v>
          </cell>
          <cell r="CP61">
            <v>115336830</v>
          </cell>
          <cell r="CQ61">
            <v>885306538</v>
          </cell>
          <cell r="CR61">
            <v>1000643368</v>
          </cell>
        </row>
        <row r="62">
          <cell r="I62" t="str">
            <v>FILE:CAVAL08</v>
          </cell>
          <cell r="K62" t="str">
            <v>TAX YEAR  08</v>
          </cell>
          <cell r="Q62" t="str">
            <v>FILE:CAVAL08</v>
          </cell>
          <cell r="S62" t="str">
            <v>TAX YEAR  08</v>
          </cell>
          <cell r="CC62" t="str">
            <v>FILE:CAVAL08</v>
          </cell>
          <cell r="CE62" t="str">
            <v>TAX YEAR  08</v>
          </cell>
          <cell r="CK62" t="str">
            <v>TOTAL RESIDENTIAL</v>
          </cell>
          <cell r="CL62">
            <v>0</v>
          </cell>
          <cell r="CM62">
            <v>110373423</v>
          </cell>
          <cell r="CN62">
            <v>110373423</v>
          </cell>
          <cell r="CO62" t="str">
            <v>TOTAL RESIDENTIAL</v>
          </cell>
          <cell r="CP62">
            <v>0</v>
          </cell>
          <cell r="CQ62">
            <v>2507456021</v>
          </cell>
          <cell r="CR62">
            <v>2507456021</v>
          </cell>
        </row>
        <row r="63">
          <cell r="K63" t="str">
            <v>FINAL</v>
          </cell>
          <cell r="S63" t="str">
            <v>FINAL</v>
          </cell>
          <cell r="CE63" t="str">
            <v>FINAL</v>
          </cell>
          <cell r="CK63" t="str">
            <v>-</v>
          </cell>
          <cell r="CL63" t="str">
            <v>-</v>
          </cell>
          <cell r="CM63" t="str">
            <v>-</v>
          </cell>
          <cell r="CN63" t="str">
            <v>-</v>
          </cell>
          <cell r="CO63" t="str">
            <v>-</v>
          </cell>
          <cell r="CP63" t="str">
            <v>-</v>
          </cell>
          <cell r="CQ63" t="str">
            <v>-</v>
          </cell>
          <cell r="CR63" t="str">
            <v>-</v>
          </cell>
        </row>
        <row r="64">
          <cell r="CK64" t="str">
            <v>GRAND TOTAL</v>
          </cell>
          <cell r="CL64">
            <v>43635121</v>
          </cell>
          <cell r="CM64">
            <v>209310531</v>
          </cell>
          <cell r="CN64">
            <v>252945652</v>
          </cell>
          <cell r="CO64" t="str">
            <v>GRAND TOTAL</v>
          </cell>
          <cell r="CP64">
            <v>115336830</v>
          </cell>
          <cell r="CQ64">
            <v>3392762559</v>
          </cell>
          <cell r="CR64">
            <v>3508099389</v>
          </cell>
        </row>
        <row r="65">
          <cell r="CK65" t="str">
            <v>=</v>
          </cell>
          <cell r="CL65" t="str">
            <v>=</v>
          </cell>
          <cell r="CM65" t="str">
            <v>=</v>
          </cell>
          <cell r="CN65" t="str">
            <v>=</v>
          </cell>
          <cell r="CO65" t="str">
            <v>=</v>
          </cell>
          <cell r="CP65" t="str">
            <v>=</v>
          </cell>
          <cell r="CQ65" t="str">
            <v>=</v>
          </cell>
          <cell r="CR65" t="str">
            <v>=</v>
          </cell>
        </row>
        <row r="66">
          <cell r="CK66" t="str">
            <v>FILE:CAVAL08</v>
          </cell>
          <cell r="CM66" t="str">
            <v>TAX YEAR  08</v>
          </cell>
          <cell r="CO66" t="str">
            <v>FILE:CAVAL08</v>
          </cell>
          <cell r="CQ66" t="str">
            <v>TAX YEAR  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5">
          <cell r="N5">
            <v>11.85</v>
          </cell>
        </row>
      </sheetData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Revenue Distribution"/>
      <sheetName val="Bernalillo"/>
      <sheetName val="Bernalillo1"/>
      <sheetName val="Catron"/>
      <sheetName val="Catron1"/>
      <sheetName val="Chaves"/>
      <sheetName val="Chaves1"/>
      <sheetName val="Cibola"/>
      <sheetName val="Cibola1"/>
      <sheetName val="Colfax"/>
      <sheetName val="Colfax1"/>
      <sheetName val="Curry"/>
      <sheetName val="Curry1"/>
      <sheetName val="DeBaca"/>
      <sheetName val="DeBaca1"/>
      <sheetName val="Dona Ana"/>
      <sheetName val="Dona Ana1"/>
      <sheetName val="Eddy"/>
      <sheetName val="Eddy1"/>
      <sheetName val="Grant"/>
      <sheetName val="Grant1"/>
      <sheetName val="Guadalupe"/>
      <sheetName val="Guadalupe1"/>
      <sheetName val="Harding"/>
      <sheetName val="Harding1"/>
      <sheetName val="Hidalgo"/>
      <sheetName val="Hidalgo1"/>
      <sheetName val="Lea"/>
      <sheetName val="Lea1"/>
      <sheetName val="Lincoln"/>
      <sheetName val="Lincoln1"/>
      <sheetName val="Los Alamos"/>
      <sheetName val="Los Alamos1"/>
      <sheetName val="Luna"/>
      <sheetName val="Luna1"/>
      <sheetName val="Mora"/>
      <sheetName val="Mora1"/>
      <sheetName val="McKinley"/>
      <sheetName val="McKinley1"/>
      <sheetName val="Otero"/>
      <sheetName val="Otero1"/>
      <sheetName val="Quay"/>
      <sheetName val="Quay1"/>
      <sheetName val="Rio Arriba"/>
      <sheetName val="Rio Arriba1"/>
      <sheetName val="Roosevelt"/>
      <sheetName val="Roosevelt1"/>
      <sheetName val="SanJuan"/>
      <sheetName val="SanJuan1"/>
      <sheetName val="San Miguel"/>
      <sheetName val="San Miguel1"/>
      <sheetName val="Sandoval"/>
      <sheetName val="Sandoval1"/>
      <sheetName val="Santa Fe"/>
      <sheetName val="Santa Fe1"/>
      <sheetName val="Sierra"/>
      <sheetName val="Sierra1"/>
      <sheetName val="Socorro"/>
      <sheetName val="Socorro1"/>
      <sheetName val="Taos"/>
      <sheetName val="Taos1"/>
      <sheetName val="Torrance"/>
      <sheetName val="Torrance1"/>
      <sheetName val="Union"/>
      <sheetName val="Union1"/>
      <sheetName val="Valencia"/>
      <sheetName val="Valencia1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4">
          <cell r="B4">
            <v>17805932.639982302</v>
          </cell>
        </row>
        <row r="5">
          <cell r="B5">
            <v>33052934.7231775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eet2"/>
      <sheetName val="Sheet1"/>
      <sheetName val="Tables"/>
      <sheetName val="Tables 2"/>
      <sheetName val="Tables 3"/>
      <sheetName val="all exemptions"/>
    </sheetNames>
    <sheetDataSet>
      <sheetData sheetId="0" refreshError="1"/>
      <sheetData sheetId="1" refreshError="1"/>
      <sheetData sheetId="2" refreshError="1"/>
      <sheetData sheetId="3">
        <row r="6">
          <cell r="F6" t="str">
            <v>Table 1: New Mexico Property Tax Values and Obligations1 by County, Tax Year 2007</v>
          </cell>
        </row>
        <row r="8">
          <cell r="G8" t="str">
            <v>Net Taxable Values</v>
          </cell>
          <cell r="L8" t="str">
            <v>Obligations</v>
          </cell>
        </row>
        <row r="9">
          <cell r="H9" t="str">
            <v>Non-</v>
          </cell>
          <cell r="M9" t="str">
            <v>Non-</v>
          </cell>
        </row>
        <row r="10">
          <cell r="F10" t="str">
            <v>County</v>
          </cell>
          <cell r="G10" t="str">
            <v>Residential</v>
          </cell>
          <cell r="H10" t="str">
            <v>residential</v>
          </cell>
          <cell r="I10" t="str">
            <v>Other2</v>
          </cell>
          <cell r="J10" t="str">
            <v>Total</v>
          </cell>
          <cell r="L10" t="str">
            <v>Residential</v>
          </cell>
          <cell r="M10" t="str">
            <v>residential</v>
          </cell>
          <cell r="N10" t="str">
            <v>Other2</v>
          </cell>
          <cell r="O10" t="str">
            <v>Total</v>
          </cell>
        </row>
        <row r="11">
          <cell r="F11" t="str">
            <v>Bernalillo</v>
          </cell>
          <cell r="G11">
            <v>9285156037</v>
          </cell>
          <cell r="H11">
            <v>3663150928</v>
          </cell>
          <cell r="I11">
            <v>0</v>
          </cell>
          <cell r="J11">
            <v>12948306965</v>
          </cell>
          <cell r="L11">
            <v>344653534.0623188</v>
          </cell>
          <cell r="M11">
            <v>161231579.82835153</v>
          </cell>
          <cell r="N11">
            <v>0</v>
          </cell>
          <cell r="O11">
            <v>505885113.8906703</v>
          </cell>
        </row>
        <row r="12">
          <cell r="F12" t="str">
            <v>Catron</v>
          </cell>
          <cell r="G12">
            <v>35978706</v>
          </cell>
          <cell r="H12">
            <v>62036464</v>
          </cell>
          <cell r="I12">
            <v>0</v>
          </cell>
          <cell r="J12">
            <v>98015170</v>
          </cell>
          <cell r="L12">
            <v>548648.89491599996</v>
          </cell>
          <cell r="M12">
            <v>831499.18093799998</v>
          </cell>
          <cell r="N12">
            <v>0</v>
          </cell>
          <cell r="O12">
            <v>1380148.0758539999</v>
          </cell>
        </row>
        <row r="13">
          <cell r="F13" t="str">
            <v>Chaves</v>
          </cell>
          <cell r="G13">
            <v>418443699</v>
          </cell>
          <cell r="H13">
            <v>376229143</v>
          </cell>
          <cell r="I13">
            <v>96060911</v>
          </cell>
          <cell r="J13">
            <v>890733753</v>
          </cell>
          <cell r="L13">
            <v>9956028.3398051467</v>
          </cell>
          <cell r="M13">
            <v>9909954.8626968507</v>
          </cell>
          <cell r="N13">
            <v>2097552.4628694998</v>
          </cell>
          <cell r="O13">
            <v>21963535.6653715</v>
          </cell>
        </row>
        <row r="14">
          <cell r="F14" t="str">
            <v>Cibola</v>
          </cell>
          <cell r="G14">
            <v>88108541</v>
          </cell>
          <cell r="H14">
            <v>150834330</v>
          </cell>
          <cell r="I14">
            <v>0</v>
          </cell>
          <cell r="J14">
            <v>238942871</v>
          </cell>
          <cell r="L14">
            <v>2356431.8567025</v>
          </cell>
          <cell r="M14">
            <v>4845120.050942</v>
          </cell>
          <cell r="N14">
            <v>0</v>
          </cell>
          <cell r="O14">
            <v>7201551.9076445</v>
          </cell>
        </row>
        <row r="15">
          <cell r="F15" t="str">
            <v>Colfax</v>
          </cell>
          <cell r="G15">
            <v>302296132</v>
          </cell>
          <cell r="H15">
            <v>222035337</v>
          </cell>
          <cell r="I15">
            <v>87595777</v>
          </cell>
          <cell r="J15">
            <v>611927246</v>
          </cell>
          <cell r="L15">
            <v>5333961.8654610002</v>
          </cell>
          <cell r="M15">
            <v>4302528.7407325003</v>
          </cell>
          <cell r="N15">
            <v>1875907.3623434997</v>
          </cell>
          <cell r="O15">
            <v>11512397.968536999</v>
          </cell>
        </row>
        <row r="16">
          <cell r="F16" t="str">
            <v>Curry</v>
          </cell>
          <cell r="G16">
            <v>307743938</v>
          </cell>
          <cell r="H16">
            <v>237890756</v>
          </cell>
          <cell r="I16">
            <v>0</v>
          </cell>
          <cell r="J16">
            <v>545634694</v>
          </cell>
          <cell r="L16">
            <v>7132674.2088759998</v>
          </cell>
          <cell r="M16">
            <v>5191100.9415140003</v>
          </cell>
          <cell r="N16">
            <v>0</v>
          </cell>
          <cell r="O16">
            <v>12323775.150389999</v>
          </cell>
        </row>
        <row r="17">
          <cell r="F17" t="str">
            <v>DeBaca</v>
          </cell>
          <cell r="G17">
            <v>10010459</v>
          </cell>
          <cell r="H17">
            <v>36522336</v>
          </cell>
          <cell r="I17">
            <v>0</v>
          </cell>
          <cell r="J17">
            <v>46532795</v>
          </cell>
          <cell r="L17">
            <v>284415.38777149993</v>
          </cell>
          <cell r="M17">
            <v>958999.09717500012</v>
          </cell>
          <cell r="N17">
            <v>0</v>
          </cell>
          <cell r="O17">
            <v>1243414.4849465</v>
          </cell>
        </row>
        <row r="18">
          <cell r="F18" t="str">
            <v>Dona Ana</v>
          </cell>
          <cell r="G18">
            <v>2047994756</v>
          </cell>
          <cell r="H18">
            <v>1078944679</v>
          </cell>
          <cell r="I18">
            <v>0</v>
          </cell>
          <cell r="J18">
            <v>3126939435</v>
          </cell>
          <cell r="L18">
            <v>51722008.115725003</v>
          </cell>
          <cell r="M18">
            <v>33650021.762578502</v>
          </cell>
          <cell r="N18">
            <v>0</v>
          </cell>
          <cell r="O18">
            <v>85372029.878303498</v>
          </cell>
        </row>
        <row r="19">
          <cell r="F19" t="str">
            <v>Eddy</v>
          </cell>
          <cell r="G19">
            <v>361347727</v>
          </cell>
          <cell r="H19">
            <v>616540740</v>
          </cell>
          <cell r="I19">
            <v>1586831998</v>
          </cell>
          <cell r="J19">
            <v>2564720465</v>
          </cell>
          <cell r="L19">
            <v>7217416.0829695007</v>
          </cell>
          <cell r="M19">
            <v>12192505.922683999</v>
          </cell>
          <cell r="N19">
            <v>29151497.416448001</v>
          </cell>
          <cell r="O19">
            <v>48561419.422101498</v>
          </cell>
        </row>
        <row r="20">
          <cell r="F20" t="str">
            <v>Grant</v>
          </cell>
          <cell r="G20">
            <v>319356167</v>
          </cell>
          <cell r="H20">
            <v>164773920</v>
          </cell>
          <cell r="I20">
            <v>133262387</v>
          </cell>
          <cell r="J20">
            <v>617392474</v>
          </cell>
          <cell r="L20">
            <v>5370092.7774984995</v>
          </cell>
          <cell r="M20">
            <v>4925966.2568589998</v>
          </cell>
          <cell r="N20">
            <v>1851480.9737844998</v>
          </cell>
          <cell r="O20">
            <v>12147540.008141998</v>
          </cell>
        </row>
        <row r="21">
          <cell r="F21" t="str">
            <v>Guadalupe</v>
          </cell>
          <cell r="G21">
            <v>24667289</v>
          </cell>
          <cell r="H21">
            <v>71497427</v>
          </cell>
          <cell r="I21">
            <v>0</v>
          </cell>
          <cell r="J21">
            <v>96164716</v>
          </cell>
          <cell r="L21">
            <v>691613.40366449999</v>
          </cell>
          <cell r="M21">
            <v>2233446.6012545</v>
          </cell>
          <cell r="N21">
            <v>0</v>
          </cell>
          <cell r="O21">
            <v>2925060.004919</v>
          </cell>
        </row>
        <row r="22">
          <cell r="F22" t="str">
            <v>Harding</v>
          </cell>
          <cell r="G22">
            <v>3825735</v>
          </cell>
          <cell r="H22">
            <v>20673033</v>
          </cell>
          <cell r="I22">
            <v>12928315</v>
          </cell>
          <cell r="J22">
            <v>37427083</v>
          </cell>
          <cell r="L22">
            <v>76303.804070499988</v>
          </cell>
          <cell r="M22">
            <v>432398.69247750001</v>
          </cell>
          <cell r="N22">
            <v>264695.5684315</v>
          </cell>
          <cell r="O22">
            <v>773398.0649794999</v>
          </cell>
        </row>
        <row r="23">
          <cell r="F23" t="str">
            <v>Hidalgo</v>
          </cell>
          <cell r="G23">
            <v>19376890</v>
          </cell>
          <cell r="H23">
            <v>114935750</v>
          </cell>
          <cell r="I23">
            <v>0</v>
          </cell>
          <cell r="J23">
            <v>134312640</v>
          </cell>
          <cell r="L23">
            <v>418686.16086700006</v>
          </cell>
          <cell r="M23">
            <v>2484186.3441099999</v>
          </cell>
          <cell r="N23">
            <v>0</v>
          </cell>
          <cell r="O23">
            <v>2902872.5049769999</v>
          </cell>
        </row>
        <row r="24">
          <cell r="F24" t="str">
            <v>Lea</v>
          </cell>
          <cell r="G24">
            <v>443977548</v>
          </cell>
          <cell r="H24">
            <v>425545587</v>
          </cell>
          <cell r="I24">
            <v>1826972760</v>
          </cell>
          <cell r="J24">
            <v>2696495895</v>
          </cell>
          <cell r="L24">
            <v>7444805.7259520004</v>
          </cell>
          <cell r="M24">
            <v>11525657.7537305</v>
          </cell>
          <cell r="N24">
            <v>50338941.140263006</v>
          </cell>
          <cell r="O24">
            <v>69309404.619945511</v>
          </cell>
        </row>
        <row r="25">
          <cell r="F25" t="str">
            <v>Lincoln</v>
          </cell>
          <cell r="G25">
            <v>596722602</v>
          </cell>
          <cell r="H25">
            <v>222011260</v>
          </cell>
          <cell r="I25">
            <v>0</v>
          </cell>
          <cell r="J25">
            <v>818733862</v>
          </cell>
          <cell r="L25">
            <v>12878271.686062999</v>
          </cell>
          <cell r="M25">
            <v>5894621.8433855008</v>
          </cell>
          <cell r="N25">
            <v>0</v>
          </cell>
          <cell r="O25">
            <v>18772893.529448502</v>
          </cell>
        </row>
        <row r="26">
          <cell r="F26" t="str">
            <v>Los Alamos</v>
          </cell>
          <cell r="G26">
            <v>622840580</v>
          </cell>
          <cell r="H26">
            <v>101288337</v>
          </cell>
          <cell r="I26">
            <v>0</v>
          </cell>
          <cell r="J26">
            <v>724128917</v>
          </cell>
          <cell r="L26">
            <v>10270329.74391</v>
          </cell>
          <cell r="M26">
            <v>2116369.1574465004</v>
          </cell>
          <cell r="N26">
            <v>0</v>
          </cell>
          <cell r="O26">
            <v>12386698.9013565</v>
          </cell>
        </row>
        <row r="27">
          <cell r="F27" t="str">
            <v>Luna</v>
          </cell>
          <cell r="G27">
            <v>186744286</v>
          </cell>
          <cell r="H27">
            <v>240561610</v>
          </cell>
          <cell r="I27">
            <v>0</v>
          </cell>
          <cell r="J27">
            <v>427305896</v>
          </cell>
          <cell r="L27">
            <v>3442359.0290799998</v>
          </cell>
          <cell r="M27">
            <v>5127106.859455999</v>
          </cell>
          <cell r="N27">
            <v>0</v>
          </cell>
          <cell r="O27">
            <v>8569465.8885359988</v>
          </cell>
        </row>
        <row r="28">
          <cell r="F28" t="str">
            <v>McKinley</v>
          </cell>
          <cell r="G28">
            <v>235968181</v>
          </cell>
          <cell r="H28">
            <v>443385499</v>
          </cell>
          <cell r="I28">
            <v>130438.74</v>
          </cell>
          <cell r="J28">
            <v>679484118.74000001</v>
          </cell>
          <cell r="L28">
            <v>7141569.1899265004</v>
          </cell>
          <cell r="M28">
            <v>15535942.778165499</v>
          </cell>
          <cell r="N28">
            <v>4140.4517044499999</v>
          </cell>
          <cell r="O28">
            <v>22681652.419796448</v>
          </cell>
        </row>
        <row r="29">
          <cell r="F29" t="str">
            <v>Mora</v>
          </cell>
          <cell r="G29">
            <v>46287728</v>
          </cell>
          <cell r="H29">
            <v>34130427</v>
          </cell>
          <cell r="I29">
            <v>0</v>
          </cell>
          <cell r="J29">
            <v>80418155</v>
          </cell>
          <cell r="L29">
            <v>942353.24710499984</v>
          </cell>
          <cell r="M29">
            <v>851534.13614150009</v>
          </cell>
          <cell r="N29">
            <v>0</v>
          </cell>
          <cell r="O29">
            <v>1793887.3832465</v>
          </cell>
        </row>
        <row r="30">
          <cell r="F30" t="str">
            <v>Otero</v>
          </cell>
          <cell r="G30">
            <v>538950160</v>
          </cell>
          <cell r="H30">
            <v>239933786</v>
          </cell>
          <cell r="I30">
            <v>0</v>
          </cell>
          <cell r="J30">
            <v>778883946</v>
          </cell>
          <cell r="L30">
            <v>12570089.107870001</v>
          </cell>
          <cell r="M30">
            <v>6893129.3480789997</v>
          </cell>
          <cell r="N30">
            <v>0</v>
          </cell>
          <cell r="O30">
            <v>19463218.455949001</v>
          </cell>
        </row>
        <row r="31">
          <cell r="F31" t="str">
            <v>Quay</v>
          </cell>
          <cell r="G31">
            <v>62484755</v>
          </cell>
          <cell r="H31">
            <v>72471745</v>
          </cell>
          <cell r="I31">
            <v>2151619</v>
          </cell>
          <cell r="J31">
            <v>137108119</v>
          </cell>
          <cell r="L31">
            <v>1190558.7858805</v>
          </cell>
          <cell r="M31">
            <v>1864672.5205544999</v>
          </cell>
          <cell r="N31">
            <v>41045.359853499991</v>
          </cell>
          <cell r="O31">
            <v>3096276.6662884997</v>
          </cell>
        </row>
        <row r="32">
          <cell r="F32" t="str">
            <v>Rio Arriba</v>
          </cell>
          <cell r="G32">
            <v>368355524</v>
          </cell>
          <cell r="H32">
            <v>265471475</v>
          </cell>
          <cell r="I32">
            <v>1197713612</v>
          </cell>
          <cell r="J32">
            <v>1831540611</v>
          </cell>
          <cell r="L32">
            <v>5722297.8031470003</v>
          </cell>
          <cell r="M32">
            <v>6025859.8138224995</v>
          </cell>
          <cell r="N32">
            <v>26623208.899418</v>
          </cell>
          <cell r="O32">
            <v>38371366.5163875</v>
          </cell>
        </row>
        <row r="33">
          <cell r="F33" t="str">
            <v>Roosevelt</v>
          </cell>
          <cell r="G33">
            <v>104965443</v>
          </cell>
          <cell r="H33">
            <v>142596740</v>
          </cell>
          <cell r="I33">
            <v>19614143</v>
          </cell>
          <cell r="J33">
            <v>267176326</v>
          </cell>
          <cell r="L33">
            <v>2383222.2774435007</v>
          </cell>
          <cell r="M33">
            <v>2977438.7275959994</v>
          </cell>
          <cell r="N33">
            <v>350550.42165649997</v>
          </cell>
          <cell r="O33">
            <v>5711211.4266960006</v>
          </cell>
        </row>
        <row r="34">
          <cell r="F34" t="str">
            <v>San Juan</v>
          </cell>
          <cell r="G34">
            <v>933067914</v>
          </cell>
          <cell r="H34">
            <v>1453994097</v>
          </cell>
          <cell r="I34">
            <v>1870282236</v>
          </cell>
          <cell r="J34">
            <v>4257344247</v>
          </cell>
          <cell r="L34">
            <v>20147939.347966999</v>
          </cell>
          <cell r="M34">
            <v>35371168.220027491</v>
          </cell>
          <cell r="N34">
            <v>40570790.424575999</v>
          </cell>
          <cell r="O34">
            <v>96089897.99257049</v>
          </cell>
        </row>
        <row r="35">
          <cell r="F35" t="str">
            <v>San Miguel</v>
          </cell>
          <cell r="G35">
            <v>291786686</v>
          </cell>
          <cell r="H35">
            <v>143041056</v>
          </cell>
          <cell r="I35">
            <v>0</v>
          </cell>
          <cell r="J35">
            <v>434827742</v>
          </cell>
          <cell r="L35">
            <v>6055312.1792805018</v>
          </cell>
          <cell r="M35">
            <v>4148951.3309875</v>
          </cell>
          <cell r="N35">
            <v>0</v>
          </cell>
          <cell r="O35">
            <v>10204263.510268003</v>
          </cell>
        </row>
        <row r="36">
          <cell r="F36" t="str">
            <v>Sandoval</v>
          </cell>
          <cell r="G36">
            <v>2001646645</v>
          </cell>
          <cell r="H36">
            <v>861173262</v>
          </cell>
          <cell r="I36">
            <v>6900624</v>
          </cell>
          <cell r="J36">
            <v>2869720531</v>
          </cell>
          <cell r="L36">
            <v>52270707.128214501</v>
          </cell>
          <cell r="M36">
            <v>20204466.456171006</v>
          </cell>
          <cell r="N36">
            <v>172318.93221599999</v>
          </cell>
          <cell r="O36">
            <v>72647492.516601503</v>
          </cell>
        </row>
        <row r="37">
          <cell r="F37" t="str">
            <v>Santa Fe</v>
          </cell>
          <cell r="G37">
            <v>4477871022</v>
          </cell>
          <cell r="H37">
            <v>1597019728</v>
          </cell>
          <cell r="I37">
            <v>0</v>
          </cell>
          <cell r="J37">
            <v>6074890750</v>
          </cell>
          <cell r="L37">
            <v>80989042.397963017</v>
          </cell>
          <cell r="M37">
            <v>40430758.775334001</v>
          </cell>
          <cell r="N37">
            <v>0</v>
          </cell>
          <cell r="O37">
            <v>121419801.17329702</v>
          </cell>
        </row>
        <row r="38">
          <cell r="F38" t="str">
            <v>Sierra</v>
          </cell>
          <cell r="G38">
            <v>131304605</v>
          </cell>
          <cell r="H38">
            <v>90339949</v>
          </cell>
          <cell r="I38">
            <v>0</v>
          </cell>
          <cell r="J38">
            <v>221644554</v>
          </cell>
          <cell r="L38">
            <v>2849956.6579135</v>
          </cell>
          <cell r="M38">
            <v>2193641.6177464998</v>
          </cell>
          <cell r="N38">
            <v>0</v>
          </cell>
          <cell r="O38">
            <v>5043598.2756599998</v>
          </cell>
        </row>
        <row r="39">
          <cell r="F39" t="str">
            <v>Socorro</v>
          </cell>
          <cell r="G39">
            <v>110390580</v>
          </cell>
          <cell r="H39">
            <v>97700559</v>
          </cell>
          <cell r="I39">
            <v>0</v>
          </cell>
          <cell r="J39">
            <v>208091139</v>
          </cell>
          <cell r="L39">
            <v>3019102.2938740002</v>
          </cell>
          <cell r="M39">
            <v>3044988.9596025003</v>
          </cell>
          <cell r="N39">
            <v>0</v>
          </cell>
          <cell r="O39">
            <v>6064091.2534765005</v>
          </cell>
        </row>
        <row r="40">
          <cell r="F40" t="str">
            <v>Taos</v>
          </cell>
          <cell r="G40">
            <v>663888261</v>
          </cell>
          <cell r="H40">
            <v>399744369</v>
          </cell>
          <cell r="I40">
            <v>0</v>
          </cell>
          <cell r="J40">
            <v>1063632630</v>
          </cell>
          <cell r="L40">
            <v>8502257.5050425008</v>
          </cell>
          <cell r="M40">
            <v>7118469.3811064996</v>
          </cell>
          <cell r="N40">
            <v>0</v>
          </cell>
          <cell r="O40">
            <v>15620726.886149</v>
          </cell>
        </row>
        <row r="41">
          <cell r="F41" t="str">
            <v>Torrance</v>
          </cell>
          <cell r="G41">
            <v>127918330</v>
          </cell>
          <cell r="H41">
            <v>161444611</v>
          </cell>
          <cell r="I41">
            <v>0</v>
          </cell>
          <cell r="J41">
            <v>289362941</v>
          </cell>
          <cell r="L41">
            <v>2922004.6479749996</v>
          </cell>
          <cell r="M41">
            <v>3659140.8387355004</v>
          </cell>
          <cell r="N41">
            <v>0</v>
          </cell>
          <cell r="O41">
            <v>6581145.4867105</v>
          </cell>
        </row>
        <row r="42">
          <cell r="F42" t="str">
            <v>Union</v>
          </cell>
          <cell r="G42">
            <v>26432656</v>
          </cell>
          <cell r="H42">
            <v>79404612</v>
          </cell>
          <cell r="I42">
            <v>15359896</v>
          </cell>
          <cell r="J42">
            <v>121197164</v>
          </cell>
          <cell r="L42">
            <v>587671.11551799998</v>
          </cell>
          <cell r="M42">
            <v>1850739.8500370001</v>
          </cell>
          <cell r="N42">
            <v>308634.07027600001</v>
          </cell>
          <cell r="O42">
            <v>2747045.0358310002</v>
          </cell>
        </row>
        <row r="43">
          <cell r="F43" t="str">
            <v>Valencia</v>
          </cell>
          <cell r="G43">
            <v>696322888</v>
          </cell>
          <cell r="H43">
            <v>283174480</v>
          </cell>
          <cell r="I43">
            <v>0</v>
          </cell>
          <cell r="J43">
            <v>979497368</v>
          </cell>
          <cell r="L43">
            <v>19920989.199531998</v>
          </cell>
          <cell r="M43">
            <v>9862893.5682969987</v>
          </cell>
          <cell r="N43">
            <v>0</v>
          </cell>
          <cell r="O43">
            <v>29783882.767828997</v>
          </cell>
        </row>
        <row r="44">
          <cell r="F44" t="str">
            <v xml:space="preserve">  Totals</v>
          </cell>
          <cell r="G44">
            <v>25892232470</v>
          </cell>
          <cell r="H44">
            <v>14170498032</v>
          </cell>
          <cell r="I44">
            <v>6855804716.7399998</v>
          </cell>
          <cell r="J44">
            <v>46918535218.740005</v>
          </cell>
          <cell r="L44">
            <v>697012654.03030348</v>
          </cell>
          <cell r="M44">
            <v>429886860.21873581</v>
          </cell>
          <cell r="N44">
            <v>153650763.48384044</v>
          </cell>
          <cell r="O44">
            <v>1280550277.7328796</v>
          </cell>
        </row>
        <row r="45">
          <cell r="F45" t="str">
            <v xml:space="preserve">  % of Total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  <pageSetUpPr fitToPage="1"/>
  </sheetPr>
  <dimension ref="A1:K125"/>
  <sheetViews>
    <sheetView showGridLines="0" showZeros="0" topLeftCell="A59" zoomScale="90" zoomScaleNormal="90" workbookViewId="0">
      <selection activeCell="C147" sqref="C147"/>
    </sheetView>
  </sheetViews>
  <sheetFormatPr defaultRowHeight="12.75" x14ac:dyDescent="0.2"/>
  <cols>
    <col min="1" max="1" width="13.140625" customWidth="1"/>
    <col min="2" max="2" width="20.140625" customWidth="1"/>
    <col min="3" max="4" width="19.42578125" customWidth="1"/>
    <col min="5" max="5" width="19.5703125" customWidth="1"/>
    <col min="6" max="6" width="19.7109375" customWidth="1"/>
    <col min="7" max="7" width="18.140625" customWidth="1"/>
    <col min="8" max="8" width="20" customWidth="1"/>
    <col min="10" max="10" width="12.85546875" customWidth="1"/>
    <col min="11" max="13" width="19.42578125" customWidth="1"/>
    <col min="14" max="16" width="21.140625" customWidth="1"/>
  </cols>
  <sheetData>
    <row r="1" spans="1:8" ht="20.25" x14ac:dyDescent="0.3">
      <c r="A1" s="102" t="s">
        <v>443</v>
      </c>
      <c r="B1" s="19"/>
      <c r="C1" s="6"/>
      <c r="D1" s="6"/>
      <c r="E1" s="6"/>
      <c r="F1" s="6"/>
      <c r="G1" s="6"/>
      <c r="H1" s="6"/>
    </row>
    <row r="2" spans="1:8" ht="20.25" x14ac:dyDescent="0.3">
      <c r="A2" s="103" t="s">
        <v>497</v>
      </c>
      <c r="B2" s="19"/>
      <c r="C2" s="548" t="s">
        <v>560</v>
      </c>
      <c r="D2" s="6"/>
      <c r="E2" s="6"/>
      <c r="F2" s="6"/>
      <c r="G2" s="6"/>
      <c r="H2" s="6"/>
    </row>
    <row r="3" spans="1:8" x14ac:dyDescent="0.2">
      <c r="A3" s="6"/>
      <c r="B3" s="19"/>
      <c r="C3" s="6"/>
      <c r="D3" s="6"/>
      <c r="E3" s="6"/>
      <c r="F3" s="6"/>
      <c r="G3" s="6"/>
      <c r="H3" s="6"/>
    </row>
    <row r="4" spans="1:8" ht="20.25" customHeight="1" x14ac:dyDescent="0.3">
      <c r="A4" s="103" t="s">
        <v>390</v>
      </c>
      <c r="B4" s="19"/>
      <c r="C4" s="6"/>
      <c r="D4" s="6"/>
      <c r="E4" s="6"/>
      <c r="F4" s="6"/>
      <c r="G4" s="20"/>
      <c r="H4" s="6"/>
    </row>
    <row r="5" spans="1:8" ht="20.25" customHeight="1" x14ac:dyDescent="0.3">
      <c r="A5" s="103" t="s">
        <v>485</v>
      </c>
      <c r="B5" s="6"/>
      <c r="C5" s="6"/>
      <c r="D5" s="6"/>
      <c r="E5" s="6"/>
      <c r="F5" s="6"/>
      <c r="G5" s="378" t="str">
        <f>$C$2</f>
        <v>2022 Tax Year</v>
      </c>
    </row>
    <row r="6" spans="1:8" x14ac:dyDescent="0.2">
      <c r="A6" s="6"/>
      <c r="B6" s="6"/>
      <c r="C6" s="6"/>
      <c r="D6" s="6"/>
      <c r="E6" s="6"/>
      <c r="F6" s="6"/>
      <c r="G6" s="6"/>
      <c r="H6" s="6"/>
    </row>
    <row r="7" spans="1:8" ht="15" x14ac:dyDescent="0.2">
      <c r="A7" s="6"/>
      <c r="B7" s="21"/>
      <c r="C7" s="22"/>
      <c r="D7" s="21"/>
      <c r="E7" s="21"/>
      <c r="F7" s="13" t="s">
        <v>4</v>
      </c>
      <c r="G7" s="21"/>
      <c r="H7" s="21"/>
    </row>
    <row r="8" spans="1:8" ht="15.75" thickBot="1" x14ac:dyDescent="0.25">
      <c r="A8" s="14" t="s">
        <v>27</v>
      </c>
      <c r="B8" s="15" t="s">
        <v>8</v>
      </c>
      <c r="C8" s="16" t="s">
        <v>9</v>
      </c>
      <c r="D8" s="15" t="s">
        <v>28</v>
      </c>
      <c r="E8" s="15" t="s">
        <v>29</v>
      </c>
      <c r="F8" s="16" t="s">
        <v>30</v>
      </c>
      <c r="G8" s="15" t="s">
        <v>10</v>
      </c>
      <c r="H8" s="15" t="s">
        <v>29</v>
      </c>
    </row>
    <row r="9" spans="1:8" ht="15" x14ac:dyDescent="0.2">
      <c r="A9" s="17" t="s">
        <v>31</v>
      </c>
      <c r="B9" s="246">
        <f>E9+H9</f>
        <v>19184705799</v>
      </c>
      <c r="C9" s="247">
        <v>15182472438</v>
      </c>
      <c r="D9" s="246">
        <v>4002233361</v>
      </c>
      <c r="E9" s="246">
        <f>C9+D9</f>
        <v>19184705799</v>
      </c>
      <c r="F9" s="247"/>
      <c r="G9" s="246"/>
      <c r="H9" s="246">
        <v>0</v>
      </c>
    </row>
    <row r="10" spans="1:8" ht="15" x14ac:dyDescent="0.2">
      <c r="A10" s="2" t="s">
        <v>32</v>
      </c>
      <c r="B10" s="244">
        <f t="shared" ref="B10:B41" si="0">E10+H10</f>
        <v>145165440</v>
      </c>
      <c r="C10" s="245">
        <v>86037764</v>
      </c>
      <c r="D10" s="244">
        <v>59127676</v>
      </c>
      <c r="E10" s="244">
        <f t="shared" ref="E10:E41" si="1">C10+D10</f>
        <v>145165440</v>
      </c>
      <c r="F10" s="245"/>
      <c r="G10" s="244"/>
      <c r="H10" s="244">
        <v>0</v>
      </c>
    </row>
    <row r="11" spans="1:8" ht="15" x14ac:dyDescent="0.2">
      <c r="A11" s="17" t="s">
        <v>33</v>
      </c>
      <c r="B11" s="246">
        <f t="shared" si="0"/>
        <v>1472643117</v>
      </c>
      <c r="C11" s="247">
        <v>787900769</v>
      </c>
      <c r="D11" s="246">
        <v>625584277</v>
      </c>
      <c r="E11" s="246">
        <f t="shared" si="1"/>
        <v>1413485046</v>
      </c>
      <c r="F11" s="247">
        <v>47119294</v>
      </c>
      <c r="G11" s="246">
        <v>12038777</v>
      </c>
      <c r="H11" s="246">
        <f>F11+G11</f>
        <v>59158071</v>
      </c>
    </row>
    <row r="12" spans="1:8" ht="15" x14ac:dyDescent="0.2">
      <c r="A12" s="2" t="s">
        <v>34</v>
      </c>
      <c r="B12" s="244">
        <f t="shared" si="0"/>
        <v>381141547</v>
      </c>
      <c r="C12" s="245">
        <v>160441128</v>
      </c>
      <c r="D12" s="244">
        <v>220700419</v>
      </c>
      <c r="E12" s="244">
        <f t="shared" si="1"/>
        <v>381141547</v>
      </c>
      <c r="F12" s="245"/>
      <c r="G12" s="244"/>
      <c r="H12" s="244">
        <v>0</v>
      </c>
    </row>
    <row r="13" spans="1:8" ht="15" x14ac:dyDescent="0.2">
      <c r="A13" s="17" t="s">
        <v>35</v>
      </c>
      <c r="B13" s="246">
        <f t="shared" si="0"/>
        <v>696642835</v>
      </c>
      <c r="C13" s="247">
        <v>442183871</v>
      </c>
      <c r="D13" s="246">
        <v>217987955</v>
      </c>
      <c r="E13" s="246">
        <f t="shared" si="1"/>
        <v>660171826</v>
      </c>
      <c r="F13" s="247">
        <v>29922464</v>
      </c>
      <c r="G13" s="246">
        <v>6548545</v>
      </c>
      <c r="H13" s="246">
        <f>F13+G13</f>
        <v>36471009</v>
      </c>
    </row>
    <row r="14" spans="1:8" ht="15" x14ac:dyDescent="0.2">
      <c r="A14" s="2" t="s">
        <v>36</v>
      </c>
      <c r="B14" s="244">
        <f t="shared" si="0"/>
        <v>1007854136</v>
      </c>
      <c r="C14" s="245">
        <v>625871707</v>
      </c>
      <c r="D14" s="244">
        <v>381982429</v>
      </c>
      <c r="E14" s="244">
        <f t="shared" si="1"/>
        <v>1007854136</v>
      </c>
      <c r="F14" s="245"/>
      <c r="G14" s="244"/>
      <c r="H14" s="244">
        <v>0</v>
      </c>
    </row>
    <row r="15" spans="1:8" ht="15" x14ac:dyDescent="0.2">
      <c r="A15" s="17" t="s">
        <v>67</v>
      </c>
      <c r="B15" s="246">
        <f t="shared" si="0"/>
        <v>97735982</v>
      </c>
      <c r="C15" s="247">
        <v>19020037</v>
      </c>
      <c r="D15" s="246">
        <v>78715945</v>
      </c>
      <c r="E15" s="246">
        <f t="shared" si="1"/>
        <v>97735982</v>
      </c>
      <c r="F15" s="247"/>
      <c r="G15" s="246"/>
      <c r="H15" s="246">
        <v>0</v>
      </c>
    </row>
    <row r="16" spans="1:8" ht="15" x14ac:dyDescent="0.2">
      <c r="A16" s="2" t="s">
        <v>37</v>
      </c>
      <c r="B16" s="244">
        <f t="shared" si="0"/>
        <v>5209506961</v>
      </c>
      <c r="C16" s="245">
        <v>3786633976</v>
      </c>
      <c r="D16" s="244">
        <v>1422872985</v>
      </c>
      <c r="E16" s="244">
        <f t="shared" si="1"/>
        <v>5209506961</v>
      </c>
      <c r="F16" s="245"/>
      <c r="G16" s="244"/>
      <c r="H16" s="244">
        <v>0</v>
      </c>
    </row>
    <row r="17" spans="1:11" ht="15" x14ac:dyDescent="0.2">
      <c r="A17" s="17" t="s">
        <v>38</v>
      </c>
      <c r="B17" s="246">
        <f t="shared" si="0"/>
        <v>13636209950</v>
      </c>
      <c r="C17" s="247">
        <v>952614981</v>
      </c>
      <c r="D17" s="246">
        <v>3280718055</v>
      </c>
      <c r="E17" s="246">
        <f t="shared" si="1"/>
        <v>4233333036</v>
      </c>
      <c r="F17" s="247">
        <v>7566761918</v>
      </c>
      <c r="G17" s="246">
        <v>1836114996</v>
      </c>
      <c r="H17" s="246">
        <f>F17+G17</f>
        <v>9402876914</v>
      </c>
    </row>
    <row r="18" spans="1:11" ht="15" x14ac:dyDescent="0.2">
      <c r="A18" s="2" t="s">
        <v>39</v>
      </c>
      <c r="B18" s="244">
        <f>E18+H18</f>
        <v>829059547</v>
      </c>
      <c r="C18" s="245">
        <v>478840875</v>
      </c>
      <c r="D18" s="244">
        <v>216550274</v>
      </c>
      <c r="E18" s="244">
        <f t="shared" si="1"/>
        <v>695391149</v>
      </c>
      <c r="F18" s="245">
        <v>133668398</v>
      </c>
      <c r="G18" s="244"/>
      <c r="H18" s="518">
        <f>F18+G18</f>
        <v>133668398</v>
      </c>
    </row>
    <row r="19" spans="1:11" ht="15" x14ac:dyDescent="0.2">
      <c r="A19" s="17" t="s">
        <v>40</v>
      </c>
      <c r="B19" s="246">
        <f t="shared" si="0"/>
        <v>188618260</v>
      </c>
      <c r="C19" s="247">
        <v>40065553</v>
      </c>
      <c r="D19" s="246">
        <v>148552707</v>
      </c>
      <c r="E19" s="246">
        <f t="shared" si="1"/>
        <v>188618260</v>
      </c>
      <c r="F19" s="247"/>
      <c r="G19" s="246"/>
      <c r="H19" s="246">
        <v>0</v>
      </c>
      <c r="K19" s="128"/>
    </row>
    <row r="20" spans="1:11" ht="15" x14ac:dyDescent="0.2">
      <c r="A20" s="2" t="s">
        <v>41</v>
      </c>
      <c r="B20" s="244">
        <f t="shared" si="0"/>
        <v>76493842</v>
      </c>
      <c r="C20" s="245">
        <v>5885875</v>
      </c>
      <c r="D20" s="244">
        <v>53598009</v>
      </c>
      <c r="E20" s="244">
        <f t="shared" si="1"/>
        <v>59483884</v>
      </c>
      <c r="F20" s="245">
        <v>13866022</v>
      </c>
      <c r="G20" s="244">
        <v>3143936</v>
      </c>
      <c r="H20" s="244">
        <f>F20+G20</f>
        <v>17009958</v>
      </c>
    </row>
    <row r="21" spans="1:11" ht="15" x14ac:dyDescent="0.2">
      <c r="A21" s="17" t="s">
        <v>42</v>
      </c>
      <c r="B21" s="246">
        <f t="shared" si="0"/>
        <v>187495008</v>
      </c>
      <c r="C21" s="247">
        <v>27921759</v>
      </c>
      <c r="D21" s="246">
        <v>159573249</v>
      </c>
      <c r="E21" s="246">
        <f t="shared" si="1"/>
        <v>187495008</v>
      </c>
      <c r="F21" s="247"/>
      <c r="G21" s="246"/>
      <c r="H21" s="246">
        <v>0</v>
      </c>
    </row>
    <row r="22" spans="1:11" ht="15" x14ac:dyDescent="0.2">
      <c r="A22" s="2" t="s">
        <v>43</v>
      </c>
      <c r="B22" s="244">
        <f t="shared" si="0"/>
        <v>15189711511</v>
      </c>
      <c r="C22" s="245">
        <v>769939507</v>
      </c>
      <c r="D22" s="244">
        <v>2171983307</v>
      </c>
      <c r="E22" s="244">
        <f t="shared" si="1"/>
        <v>2941922814</v>
      </c>
      <c r="F22" s="245">
        <v>9815122165</v>
      </c>
      <c r="G22" s="244">
        <v>2432666532</v>
      </c>
      <c r="H22" s="244">
        <f>F22+G22</f>
        <v>12247788697</v>
      </c>
    </row>
    <row r="23" spans="1:11" ht="15" x14ac:dyDescent="0.2">
      <c r="A23" s="17" t="s">
        <v>44</v>
      </c>
      <c r="B23" s="246">
        <f t="shared" si="0"/>
        <v>1515805900</v>
      </c>
      <c r="C23" s="247">
        <v>1032065169</v>
      </c>
      <c r="D23" s="246">
        <v>483740731</v>
      </c>
      <c r="E23" s="246">
        <f t="shared" si="1"/>
        <v>1515805900</v>
      </c>
      <c r="F23" s="247"/>
      <c r="G23" s="246"/>
      <c r="H23" s="246">
        <v>0</v>
      </c>
    </row>
    <row r="24" spans="1:11" ht="15" x14ac:dyDescent="0.2">
      <c r="A24" s="2" t="s">
        <v>45</v>
      </c>
      <c r="B24" s="244">
        <f t="shared" si="0"/>
        <v>921400832</v>
      </c>
      <c r="C24" s="245">
        <v>808282870</v>
      </c>
      <c r="D24" s="244">
        <v>113117962</v>
      </c>
      <c r="E24" s="244">
        <f t="shared" si="1"/>
        <v>921400832</v>
      </c>
      <c r="F24" s="245"/>
      <c r="G24" s="244"/>
      <c r="H24" s="244">
        <v>0</v>
      </c>
    </row>
    <row r="25" spans="1:11" ht="15" x14ac:dyDescent="0.2">
      <c r="A25" s="17" t="s">
        <v>46</v>
      </c>
      <c r="B25" s="246">
        <f t="shared" si="0"/>
        <v>643478227</v>
      </c>
      <c r="C25" s="247">
        <v>281235922</v>
      </c>
      <c r="D25" s="246">
        <v>362242305</v>
      </c>
      <c r="E25" s="246">
        <f t="shared" si="1"/>
        <v>643478227</v>
      </c>
      <c r="F25" s="247"/>
      <c r="G25" s="246"/>
      <c r="H25" s="246">
        <v>0</v>
      </c>
    </row>
    <row r="26" spans="1:11" ht="15" x14ac:dyDescent="0.2">
      <c r="A26" s="2" t="s">
        <v>47</v>
      </c>
      <c r="B26" s="244">
        <f t="shared" si="0"/>
        <v>744939419</v>
      </c>
      <c r="C26" s="245">
        <v>283934994</v>
      </c>
      <c r="D26" s="244">
        <v>460766100</v>
      </c>
      <c r="E26" s="244">
        <f t="shared" si="1"/>
        <v>744701094</v>
      </c>
      <c r="F26" s="245">
        <v>194919</v>
      </c>
      <c r="G26" s="244">
        <v>43406</v>
      </c>
      <c r="H26" s="244">
        <f>F26+G26</f>
        <v>238325</v>
      </c>
    </row>
    <row r="27" spans="1:11" ht="15" x14ac:dyDescent="0.2">
      <c r="A27" s="17" t="s">
        <v>48</v>
      </c>
      <c r="B27" s="246">
        <f t="shared" si="0"/>
        <v>159220978</v>
      </c>
      <c r="C27" s="247">
        <v>86482638</v>
      </c>
      <c r="D27" s="246">
        <v>72738340</v>
      </c>
      <c r="E27" s="246">
        <f t="shared" si="1"/>
        <v>159220978</v>
      </c>
      <c r="F27" s="247"/>
      <c r="G27" s="246"/>
      <c r="H27" s="246">
        <v>0</v>
      </c>
    </row>
    <row r="28" spans="1:11" ht="15" x14ac:dyDescent="0.2">
      <c r="A28" s="2" t="s">
        <v>49</v>
      </c>
      <c r="B28" s="244">
        <f t="shared" si="0"/>
        <v>1366466217</v>
      </c>
      <c r="C28" s="245">
        <v>928647363</v>
      </c>
      <c r="D28" s="244">
        <v>437818854</v>
      </c>
      <c r="E28" s="244">
        <f t="shared" si="1"/>
        <v>1366466217</v>
      </c>
      <c r="F28" s="245"/>
      <c r="G28" s="244"/>
      <c r="H28" s="244">
        <v>0</v>
      </c>
    </row>
    <row r="29" spans="1:11" ht="15" x14ac:dyDescent="0.2">
      <c r="A29" s="17" t="s">
        <v>50</v>
      </c>
      <c r="B29" s="246">
        <f t="shared" si="0"/>
        <v>252914972</v>
      </c>
      <c r="C29" s="247">
        <v>93782441</v>
      </c>
      <c r="D29" s="246">
        <v>158068138</v>
      </c>
      <c r="E29" s="246">
        <f t="shared" si="1"/>
        <v>251850579</v>
      </c>
      <c r="F29" s="247">
        <v>862441</v>
      </c>
      <c r="G29" s="246">
        <v>201952</v>
      </c>
      <c r="H29" s="246">
        <f>F29+G29</f>
        <v>1064393</v>
      </c>
    </row>
    <row r="30" spans="1:11" ht="15" x14ac:dyDescent="0.2">
      <c r="A30" s="2" t="s">
        <v>51</v>
      </c>
      <c r="B30" s="244">
        <f t="shared" si="0"/>
        <v>1383748861</v>
      </c>
      <c r="C30" s="245">
        <v>567384623</v>
      </c>
      <c r="D30" s="244">
        <v>350907688</v>
      </c>
      <c r="E30" s="244">
        <f t="shared" si="1"/>
        <v>918292311</v>
      </c>
      <c r="F30" s="245">
        <v>370126726</v>
      </c>
      <c r="G30" s="244">
        <v>95329824</v>
      </c>
      <c r="H30" s="244">
        <f>F30+G30</f>
        <v>465456550</v>
      </c>
    </row>
    <row r="31" spans="1:11" ht="15" x14ac:dyDescent="0.2">
      <c r="A31" s="17" t="s">
        <v>52</v>
      </c>
      <c r="B31" s="246">
        <f t="shared" si="0"/>
        <v>654334597</v>
      </c>
      <c r="C31" s="247">
        <v>201596221</v>
      </c>
      <c r="D31" s="246">
        <v>434972892</v>
      </c>
      <c r="E31" s="246">
        <f t="shared" si="1"/>
        <v>636569113</v>
      </c>
      <c r="F31" s="247">
        <v>14387566</v>
      </c>
      <c r="G31" s="246">
        <v>3377918</v>
      </c>
      <c r="H31" s="246">
        <f>F31+G31</f>
        <v>17765484</v>
      </c>
    </row>
    <row r="32" spans="1:11" ht="15" x14ac:dyDescent="0.2">
      <c r="A32" s="2" t="s">
        <v>53</v>
      </c>
      <c r="B32" s="244">
        <f t="shared" si="0"/>
        <v>3888138776</v>
      </c>
      <c r="C32" s="245">
        <v>1616375092</v>
      </c>
      <c r="D32" s="244">
        <v>1616269625</v>
      </c>
      <c r="E32" s="244">
        <f t="shared" si="1"/>
        <v>3232644717</v>
      </c>
      <c r="F32" s="245">
        <v>526539443</v>
      </c>
      <c r="G32" s="244">
        <v>128954616</v>
      </c>
      <c r="H32" s="244">
        <f>F32+G32</f>
        <v>655494059</v>
      </c>
    </row>
    <row r="33" spans="1:11" ht="15" x14ac:dyDescent="0.2">
      <c r="A33" s="17" t="s">
        <v>54</v>
      </c>
      <c r="B33" s="246">
        <f t="shared" si="0"/>
        <v>691093208</v>
      </c>
      <c r="C33" s="247">
        <v>462193747</v>
      </c>
      <c r="D33" s="246">
        <v>228899461</v>
      </c>
      <c r="E33" s="246">
        <f t="shared" si="1"/>
        <v>691093208</v>
      </c>
      <c r="F33" s="247"/>
      <c r="G33" s="246"/>
      <c r="H33" s="246">
        <v>0</v>
      </c>
    </row>
    <row r="34" spans="1:11" ht="15" x14ac:dyDescent="0.2">
      <c r="A34" s="2" t="s">
        <v>55</v>
      </c>
      <c r="B34" s="244">
        <f t="shared" si="0"/>
        <v>4559960857</v>
      </c>
      <c r="C34" s="245">
        <v>3541517651</v>
      </c>
      <c r="D34" s="244">
        <v>899984530</v>
      </c>
      <c r="E34" s="244">
        <f t="shared" si="1"/>
        <v>4441502181</v>
      </c>
      <c r="F34" s="245">
        <v>94441029</v>
      </c>
      <c r="G34" s="244">
        <v>24017647</v>
      </c>
      <c r="H34" s="244">
        <f>F34+G34</f>
        <v>118458676</v>
      </c>
    </row>
    <row r="35" spans="1:11" ht="15" x14ac:dyDescent="0.2">
      <c r="A35" s="17" t="s">
        <v>56</v>
      </c>
      <c r="B35" s="246">
        <f t="shared" si="0"/>
        <v>8678909160</v>
      </c>
      <c r="C35" s="247">
        <v>7045012359</v>
      </c>
      <c r="D35" s="246">
        <v>1633896801</v>
      </c>
      <c r="E35" s="246">
        <f t="shared" si="1"/>
        <v>8678909160</v>
      </c>
      <c r="F35" s="247"/>
      <c r="G35" s="246"/>
      <c r="H35" s="246">
        <v>0</v>
      </c>
    </row>
    <row r="36" spans="1:11" ht="15" x14ac:dyDescent="0.2">
      <c r="A36" s="2" t="s">
        <v>57</v>
      </c>
      <c r="B36" s="244">
        <f t="shared" si="0"/>
        <v>351936213</v>
      </c>
      <c r="C36" s="245">
        <v>202460677</v>
      </c>
      <c r="D36" s="244">
        <v>149475536</v>
      </c>
      <c r="E36" s="244">
        <f t="shared" si="1"/>
        <v>351936213</v>
      </c>
      <c r="F36" s="245"/>
      <c r="G36" s="244"/>
      <c r="H36" s="244">
        <v>0</v>
      </c>
    </row>
    <row r="37" spans="1:11" ht="15" x14ac:dyDescent="0.2">
      <c r="A37" s="17" t="s">
        <v>58</v>
      </c>
      <c r="B37" s="246">
        <f t="shared" si="0"/>
        <v>321242644</v>
      </c>
      <c r="C37" s="247">
        <v>167986633</v>
      </c>
      <c r="D37" s="246">
        <v>153256011</v>
      </c>
      <c r="E37" s="246">
        <f t="shared" si="1"/>
        <v>321242644</v>
      </c>
      <c r="F37" s="247"/>
      <c r="G37" s="246"/>
      <c r="H37" s="246">
        <v>0</v>
      </c>
    </row>
    <row r="38" spans="1:11" ht="15" x14ac:dyDescent="0.2">
      <c r="A38" s="2" t="s">
        <v>59</v>
      </c>
      <c r="B38" s="244">
        <f t="shared" si="0"/>
        <v>1665492477</v>
      </c>
      <c r="C38" s="245">
        <v>1077686961</v>
      </c>
      <c r="D38" s="244">
        <v>587805516</v>
      </c>
      <c r="E38" s="244">
        <f t="shared" si="1"/>
        <v>1665492477</v>
      </c>
      <c r="F38" s="245"/>
      <c r="G38" s="244"/>
      <c r="H38" s="244">
        <v>0</v>
      </c>
    </row>
    <row r="39" spans="1:11" ht="15" x14ac:dyDescent="0.2">
      <c r="A39" s="17" t="s">
        <v>60</v>
      </c>
      <c r="B39" s="246">
        <f t="shared" si="0"/>
        <v>496506454</v>
      </c>
      <c r="C39" s="247">
        <v>192313943</v>
      </c>
      <c r="D39" s="246">
        <v>304192511</v>
      </c>
      <c r="E39" s="246">
        <f t="shared" si="1"/>
        <v>496506454</v>
      </c>
      <c r="F39" s="247"/>
      <c r="G39" s="246"/>
      <c r="H39" s="246">
        <v>0</v>
      </c>
    </row>
    <row r="40" spans="1:11" ht="15" x14ac:dyDescent="0.2">
      <c r="A40" s="2" t="s">
        <v>61</v>
      </c>
      <c r="B40" s="244">
        <f t="shared" si="0"/>
        <v>176102033</v>
      </c>
      <c r="C40" s="245">
        <v>43675741</v>
      </c>
      <c r="D40" s="244">
        <v>124400422</v>
      </c>
      <c r="E40" s="244">
        <f t="shared" si="1"/>
        <v>168076163</v>
      </c>
      <c r="F40" s="245">
        <v>6523500</v>
      </c>
      <c r="G40" s="244">
        <v>1502370</v>
      </c>
      <c r="H40" s="244">
        <f>F40+G40</f>
        <v>8025870</v>
      </c>
    </row>
    <row r="41" spans="1:11" ht="15" x14ac:dyDescent="0.2">
      <c r="A41" s="17" t="s">
        <v>62</v>
      </c>
      <c r="B41" s="246">
        <f t="shared" si="0"/>
        <v>1742886866</v>
      </c>
      <c r="C41" s="247">
        <v>1216520730</v>
      </c>
      <c r="D41" s="246">
        <v>526366136</v>
      </c>
      <c r="E41" s="246">
        <f t="shared" si="1"/>
        <v>1742886866</v>
      </c>
      <c r="F41" s="247"/>
      <c r="G41" s="246"/>
      <c r="H41" s="246">
        <v>0</v>
      </c>
    </row>
    <row r="42" spans="1:11" ht="15" x14ac:dyDescent="0.2">
      <c r="A42" s="2" t="s">
        <v>63</v>
      </c>
      <c r="B42" s="244">
        <f>SUM(B9:B41)</f>
        <v>88517562626</v>
      </c>
      <c r="C42" s="245">
        <f t="shared" ref="C42:H42" si="2">SUM(C9:C41)</f>
        <v>43214986015</v>
      </c>
      <c r="D42" s="244">
        <f t="shared" si="2"/>
        <v>22139100207</v>
      </c>
      <c r="E42" s="244">
        <f t="shared" si="2"/>
        <v>65354086222</v>
      </c>
      <c r="F42" s="245">
        <f t="shared" si="2"/>
        <v>18619535885</v>
      </c>
      <c r="G42" s="244">
        <f t="shared" si="2"/>
        <v>4543940519</v>
      </c>
      <c r="H42" s="244">
        <f t="shared" si="2"/>
        <v>23163476404</v>
      </c>
      <c r="J42" s="48"/>
      <c r="K42">
        <f>+F429</f>
        <v>0</v>
      </c>
    </row>
    <row r="43" spans="1:11" ht="15.75" thickBot="1" x14ac:dyDescent="0.25">
      <c r="A43" s="281" t="s">
        <v>422</v>
      </c>
      <c r="B43" s="282">
        <f>E43+H43</f>
        <v>100</v>
      </c>
      <c r="C43" s="283">
        <f>ROUND(C42/$B$42*100,1)</f>
        <v>48.8</v>
      </c>
      <c r="D43" s="282">
        <f>ROUND(D42/$B$42*100,1)</f>
        <v>25</v>
      </c>
      <c r="E43" s="282">
        <f t="shared" ref="E43:H43" si="3">ROUND(E42/$B$42*100,1)</f>
        <v>73.8</v>
      </c>
      <c r="F43" s="283">
        <f t="shared" si="3"/>
        <v>21</v>
      </c>
      <c r="G43" s="282">
        <f t="shared" si="3"/>
        <v>5.0999999999999996</v>
      </c>
      <c r="H43" s="282">
        <f t="shared" si="3"/>
        <v>26.2</v>
      </c>
      <c r="J43" s="48"/>
    </row>
    <row r="44" spans="1:11" ht="15" x14ac:dyDescent="0.2">
      <c r="A44" s="2" t="s">
        <v>423</v>
      </c>
      <c r="B44" s="26"/>
      <c r="C44" s="26"/>
      <c r="D44" s="26"/>
      <c r="E44" s="26"/>
      <c r="F44" s="26"/>
      <c r="G44" s="26"/>
      <c r="H44" s="2"/>
    </row>
    <row r="45" spans="1:11" ht="15" x14ac:dyDescent="0.2">
      <c r="A45" s="6"/>
      <c r="B45" s="116"/>
      <c r="C45" s="182">
        <f>+B45/B42</f>
        <v>0</v>
      </c>
      <c r="D45" s="182"/>
      <c r="E45" s="119"/>
      <c r="F45" s="19"/>
      <c r="G45" s="19"/>
      <c r="H45" s="56"/>
    </row>
    <row r="46" spans="1:11" ht="20.25" customHeight="1" x14ac:dyDescent="0.3">
      <c r="A46" s="103" t="s">
        <v>391</v>
      </c>
      <c r="B46" s="6"/>
      <c r="C46" s="6"/>
      <c r="D46" s="6"/>
      <c r="E46" s="6"/>
      <c r="F46" s="6"/>
      <c r="G46" s="6"/>
      <c r="H46" s="6"/>
    </row>
    <row r="47" spans="1:11" ht="20.25" customHeight="1" x14ac:dyDescent="0.3">
      <c r="A47" s="103" t="s">
        <v>484</v>
      </c>
      <c r="B47" s="6"/>
      <c r="C47" s="27"/>
      <c r="D47" s="6"/>
      <c r="E47" s="6"/>
      <c r="F47" s="6"/>
      <c r="G47" s="378" t="str">
        <f>$C$2</f>
        <v>2022 Tax Year</v>
      </c>
      <c r="H47" s="6"/>
    </row>
    <row r="48" spans="1:11" x14ac:dyDescent="0.2">
      <c r="A48" s="6"/>
      <c r="B48" s="6"/>
      <c r="C48" s="6"/>
      <c r="D48" s="6"/>
      <c r="E48" s="6"/>
      <c r="F48" s="6"/>
      <c r="G48" s="6"/>
      <c r="H48" s="6"/>
    </row>
    <row r="49" spans="1:11" ht="15" x14ac:dyDescent="0.2">
      <c r="A49" s="2"/>
      <c r="B49" s="2"/>
      <c r="C49" s="112"/>
      <c r="D49" s="2"/>
      <c r="E49" s="2"/>
      <c r="F49" s="112" t="s">
        <v>321</v>
      </c>
      <c r="G49" s="2"/>
      <c r="H49" s="2"/>
    </row>
    <row r="50" spans="1:11" ht="15.75" thickBot="1" x14ac:dyDescent="0.25">
      <c r="A50" s="14" t="s">
        <v>27</v>
      </c>
      <c r="B50" s="113" t="s">
        <v>353</v>
      </c>
      <c r="C50" s="114" t="s">
        <v>354</v>
      </c>
      <c r="D50" s="115" t="s">
        <v>28</v>
      </c>
      <c r="E50" s="15" t="s">
        <v>355</v>
      </c>
      <c r="F50" s="114" t="s">
        <v>30</v>
      </c>
      <c r="G50" s="115" t="s">
        <v>10</v>
      </c>
      <c r="H50" s="115" t="s">
        <v>356</v>
      </c>
    </row>
    <row r="51" spans="1:11" ht="15" x14ac:dyDescent="0.2">
      <c r="A51" s="17" t="s">
        <v>31</v>
      </c>
      <c r="B51" s="309">
        <f>E51+H51</f>
        <v>811106026.20230401</v>
      </c>
      <c r="C51" s="312">
        <v>624309121.034338</v>
      </c>
      <c r="D51" s="313">
        <v>186796905.16796598</v>
      </c>
      <c r="E51" s="162">
        <f>C51+D51</f>
        <v>811106026.20230401</v>
      </c>
      <c r="F51" s="247"/>
      <c r="G51" s="246"/>
      <c r="H51" s="246">
        <f>F51+G51</f>
        <v>0</v>
      </c>
    </row>
    <row r="52" spans="1:11" ht="15" x14ac:dyDescent="0.2">
      <c r="A52" s="2" t="s">
        <v>32</v>
      </c>
      <c r="B52" s="164">
        <f t="shared" ref="B52:B83" si="4">E52+H52</f>
        <v>2602365.171662</v>
      </c>
      <c r="C52" s="310">
        <v>1517937.9332570001</v>
      </c>
      <c r="D52" s="164">
        <v>1084427.2384049997</v>
      </c>
      <c r="E52" s="164">
        <f t="shared" ref="E52:E83" si="5">C52+D52</f>
        <v>2602365.171662</v>
      </c>
      <c r="F52" s="245"/>
      <c r="G52" s="244"/>
      <c r="H52" s="244">
        <f t="shared" ref="H52:H83" si="6">F52+G52</f>
        <v>0</v>
      </c>
    </row>
    <row r="53" spans="1:11" ht="15" x14ac:dyDescent="0.2">
      <c r="A53" s="17" t="s">
        <v>33</v>
      </c>
      <c r="B53" s="162">
        <f t="shared" si="4"/>
        <v>38422615.632197008</v>
      </c>
      <c r="C53" s="311">
        <v>20404966.443341006</v>
      </c>
      <c r="D53" s="162">
        <v>16796818.311304003</v>
      </c>
      <c r="E53" s="162">
        <f t="shared" si="5"/>
        <v>37201784.754645005</v>
      </c>
      <c r="F53" s="247">
        <v>972355.71202200011</v>
      </c>
      <c r="G53" s="246">
        <v>248475.16553</v>
      </c>
      <c r="H53" s="246">
        <f t="shared" si="6"/>
        <v>1220830.8775520001</v>
      </c>
    </row>
    <row r="54" spans="1:11" ht="15" x14ac:dyDescent="0.2">
      <c r="A54" s="2" t="s">
        <v>34</v>
      </c>
      <c r="B54" s="244">
        <f t="shared" si="4"/>
        <v>12792782.596203998</v>
      </c>
      <c r="C54" s="245">
        <v>5136835.6487779999</v>
      </c>
      <c r="D54" s="244">
        <v>7655946.9474259978</v>
      </c>
      <c r="E54" s="244">
        <f t="shared" si="5"/>
        <v>12792782.596203998</v>
      </c>
      <c r="F54" s="245"/>
      <c r="G54" s="244"/>
      <c r="H54" s="244">
        <f t="shared" si="6"/>
        <v>0</v>
      </c>
    </row>
    <row r="55" spans="1:11" ht="15" x14ac:dyDescent="0.2">
      <c r="A55" s="17" t="s">
        <v>35</v>
      </c>
      <c r="B55" s="246">
        <f t="shared" si="4"/>
        <v>18094557.867081001</v>
      </c>
      <c r="C55" s="247">
        <v>11505558.173704999</v>
      </c>
      <c r="D55" s="246">
        <v>5782475.079988</v>
      </c>
      <c r="E55" s="246">
        <f t="shared" si="5"/>
        <v>17288033.253692999</v>
      </c>
      <c r="F55" s="247">
        <v>661719.56784400006</v>
      </c>
      <c r="G55" s="246">
        <v>144805.04554399999</v>
      </c>
      <c r="H55" s="246">
        <f t="shared" si="6"/>
        <v>806524.61338800006</v>
      </c>
    </row>
    <row r="56" spans="1:11" ht="15" x14ac:dyDescent="0.2">
      <c r="A56" s="2" t="s">
        <v>36</v>
      </c>
      <c r="B56" s="244">
        <f t="shared" si="4"/>
        <v>23921582.120488003</v>
      </c>
      <c r="C56" s="245">
        <v>15216943.880214002</v>
      </c>
      <c r="D56" s="244">
        <v>8704638.2402739991</v>
      </c>
      <c r="E56" s="244">
        <f t="shared" si="5"/>
        <v>23921582.120488003</v>
      </c>
      <c r="F56" s="245"/>
      <c r="G56" s="244"/>
      <c r="H56" s="244">
        <f t="shared" si="6"/>
        <v>0</v>
      </c>
    </row>
    <row r="57" spans="1:11" ht="15" x14ac:dyDescent="0.2">
      <c r="A57" s="17" t="s">
        <v>67</v>
      </c>
      <c r="B57" s="246">
        <f t="shared" si="4"/>
        <v>2240059.1670380002</v>
      </c>
      <c r="C57" s="247">
        <v>453979.01923500001</v>
      </c>
      <c r="D57" s="246">
        <v>1786080.1478029999</v>
      </c>
      <c r="E57" s="246">
        <f t="shared" si="5"/>
        <v>2240059.1670380002</v>
      </c>
      <c r="F57" s="247"/>
      <c r="G57" s="246"/>
      <c r="H57" s="246">
        <f t="shared" si="6"/>
        <v>0</v>
      </c>
    </row>
    <row r="58" spans="1:11" ht="15" x14ac:dyDescent="0.2">
      <c r="A58" s="2" t="s">
        <v>37</v>
      </c>
      <c r="B58" s="244">
        <f t="shared" si="4"/>
        <v>160001854.49709699</v>
      </c>
      <c r="C58" s="245">
        <v>112371421.07069799</v>
      </c>
      <c r="D58" s="244">
        <v>47630433.426399</v>
      </c>
      <c r="E58" s="244">
        <f t="shared" si="5"/>
        <v>160001854.49709699</v>
      </c>
      <c r="F58" s="245"/>
      <c r="G58" s="244"/>
      <c r="H58" s="244">
        <f t="shared" si="6"/>
        <v>0</v>
      </c>
    </row>
    <row r="59" spans="1:11" ht="15" x14ac:dyDescent="0.2">
      <c r="A59" s="17" t="s">
        <v>38</v>
      </c>
      <c r="B59" s="246">
        <f t="shared" si="4"/>
        <v>296625428.33599699</v>
      </c>
      <c r="C59" s="247">
        <v>22490925.339114994</v>
      </c>
      <c r="D59" s="246">
        <v>75022713.955681011</v>
      </c>
      <c r="E59" s="246">
        <f t="shared" si="5"/>
        <v>97513639.294796005</v>
      </c>
      <c r="F59" s="247">
        <v>160261941.046552</v>
      </c>
      <c r="G59" s="246">
        <v>38849847.994649</v>
      </c>
      <c r="H59" s="246">
        <f t="shared" si="6"/>
        <v>199111789.041201</v>
      </c>
    </row>
    <row r="60" spans="1:11" ht="15" x14ac:dyDescent="0.2">
      <c r="A60" s="2" t="s">
        <v>39</v>
      </c>
      <c r="B60" s="244">
        <f>E60+H60</f>
        <v>15813661.315159</v>
      </c>
      <c r="C60" s="245">
        <v>8009869.4118210003</v>
      </c>
      <c r="D60" s="244">
        <v>4815263.8952489998</v>
      </c>
      <c r="E60" s="244">
        <f t="shared" si="5"/>
        <v>12825133.30707</v>
      </c>
      <c r="F60" s="245">
        <v>2988528.0080889999</v>
      </c>
      <c r="G60" s="244"/>
      <c r="H60" s="244">
        <f t="shared" si="6"/>
        <v>2988528.0080889999</v>
      </c>
    </row>
    <row r="61" spans="1:11" ht="15" x14ac:dyDescent="0.2">
      <c r="A61" s="17" t="s">
        <v>40</v>
      </c>
      <c r="B61" s="246">
        <f t="shared" si="4"/>
        <v>5173789.3986140005</v>
      </c>
      <c r="C61" s="247">
        <v>1056868.0651420001</v>
      </c>
      <c r="D61" s="246">
        <v>4116921.333472</v>
      </c>
      <c r="E61" s="246">
        <f t="shared" si="5"/>
        <v>5173789.3986140005</v>
      </c>
      <c r="F61" s="247"/>
      <c r="G61" s="246"/>
      <c r="H61" s="246">
        <f t="shared" si="6"/>
        <v>0</v>
      </c>
      <c r="K61" s="183"/>
    </row>
    <row r="62" spans="1:11" ht="15" x14ac:dyDescent="0.2">
      <c r="A62" s="2" t="s">
        <v>41</v>
      </c>
      <c r="B62" s="244">
        <f t="shared" si="4"/>
        <v>1912442.7226350005</v>
      </c>
      <c r="C62" s="245">
        <v>121429.270236</v>
      </c>
      <c r="D62" s="244">
        <v>1347681.8906730004</v>
      </c>
      <c r="E62" s="244">
        <f t="shared" si="5"/>
        <v>1469111.1609090003</v>
      </c>
      <c r="F62" s="245">
        <v>361455.88070200005</v>
      </c>
      <c r="G62" s="244">
        <v>81875.681024000005</v>
      </c>
      <c r="H62" s="244">
        <f t="shared" si="6"/>
        <v>443331.56172600004</v>
      </c>
    </row>
    <row r="63" spans="1:11" ht="15" x14ac:dyDescent="0.2">
      <c r="A63" s="17" t="s">
        <v>42</v>
      </c>
      <c r="B63" s="246">
        <f t="shared" si="4"/>
        <v>3992650.2098160004</v>
      </c>
      <c r="C63" s="247">
        <v>546262.99356200011</v>
      </c>
      <c r="D63" s="246">
        <v>3446387.2162540001</v>
      </c>
      <c r="E63" s="246">
        <f t="shared" si="5"/>
        <v>3992650.2098160004</v>
      </c>
      <c r="F63" s="247"/>
      <c r="G63" s="246"/>
      <c r="H63" s="246">
        <f t="shared" si="6"/>
        <v>0</v>
      </c>
      <c r="K63" s="185"/>
    </row>
    <row r="64" spans="1:11" ht="15" x14ac:dyDescent="0.2">
      <c r="A64" s="2" t="s">
        <v>43</v>
      </c>
      <c r="B64" s="244">
        <f t="shared" si="4"/>
        <v>375664229.90160197</v>
      </c>
      <c r="C64" s="245">
        <v>20677408.706858996</v>
      </c>
      <c r="D64" s="244">
        <v>59476678.390063003</v>
      </c>
      <c r="E64" s="244">
        <f t="shared" si="5"/>
        <v>80154087.096921995</v>
      </c>
      <c r="F64" s="245">
        <v>236729115.333258</v>
      </c>
      <c r="G64" s="244">
        <v>58781027.471422002</v>
      </c>
      <c r="H64" s="244">
        <f t="shared" si="6"/>
        <v>295510142.80467999</v>
      </c>
    </row>
    <row r="65" spans="1:8" ht="15" x14ac:dyDescent="0.2">
      <c r="A65" s="17" t="s">
        <v>44</v>
      </c>
      <c r="B65" s="246">
        <f t="shared" si="4"/>
        <v>35583527.761836998</v>
      </c>
      <c r="C65" s="247">
        <v>24242943.574393999</v>
      </c>
      <c r="D65" s="246">
        <v>11340584.187443001</v>
      </c>
      <c r="E65" s="246">
        <f t="shared" si="5"/>
        <v>35583527.761836998</v>
      </c>
      <c r="F65" s="247"/>
      <c r="G65" s="246"/>
      <c r="H65" s="246">
        <f t="shared" si="6"/>
        <v>0</v>
      </c>
    </row>
    <row r="66" spans="1:8" ht="15" x14ac:dyDescent="0.2">
      <c r="A66" s="2" t="s">
        <v>45</v>
      </c>
      <c r="B66" s="244">
        <f t="shared" si="4"/>
        <v>22773758.451458</v>
      </c>
      <c r="C66" s="245">
        <v>19525689.290589999</v>
      </c>
      <c r="D66" s="244">
        <v>3248069.1608679998</v>
      </c>
      <c r="E66" s="244">
        <f t="shared" si="5"/>
        <v>22773758.451458</v>
      </c>
      <c r="F66" s="245"/>
      <c r="G66" s="244"/>
      <c r="H66" s="244">
        <f t="shared" si="6"/>
        <v>0</v>
      </c>
    </row>
    <row r="67" spans="1:8" ht="15" x14ac:dyDescent="0.2">
      <c r="A67" s="17" t="s">
        <v>46</v>
      </c>
      <c r="B67" s="246">
        <f t="shared" si="4"/>
        <v>14868774.893531</v>
      </c>
      <c r="C67" s="247">
        <v>6438368.446659999</v>
      </c>
      <c r="D67" s="246">
        <v>8430406.4468710013</v>
      </c>
      <c r="E67" s="246">
        <f t="shared" si="5"/>
        <v>14868774.893531</v>
      </c>
      <c r="F67" s="247"/>
      <c r="G67" s="246"/>
      <c r="H67" s="246">
        <f t="shared" si="6"/>
        <v>0</v>
      </c>
    </row>
    <row r="68" spans="1:8" ht="15" x14ac:dyDescent="0.2">
      <c r="A68" s="2" t="s">
        <v>47</v>
      </c>
      <c r="B68" s="244">
        <f t="shared" si="4"/>
        <v>26796056.050824005</v>
      </c>
      <c r="C68" s="245">
        <v>9864953.0780580007</v>
      </c>
      <c r="D68" s="244">
        <v>16923056.882441003</v>
      </c>
      <c r="E68" s="244">
        <f t="shared" si="5"/>
        <v>26788009.960499004</v>
      </c>
      <c r="F68" s="245">
        <v>6580.6603590000013</v>
      </c>
      <c r="G68" s="244">
        <v>1465.4299659999999</v>
      </c>
      <c r="H68" s="244">
        <f t="shared" si="6"/>
        <v>8046.090325000001</v>
      </c>
    </row>
    <row r="69" spans="1:8" ht="15" x14ac:dyDescent="0.2">
      <c r="A69" s="17" t="s">
        <v>48</v>
      </c>
      <c r="B69" s="246">
        <f t="shared" si="4"/>
        <v>3396629.9435459999</v>
      </c>
      <c r="C69" s="247">
        <v>1596573.7612880003</v>
      </c>
      <c r="D69" s="246">
        <v>1800056.1822579999</v>
      </c>
      <c r="E69" s="246">
        <f t="shared" si="5"/>
        <v>3396629.9435459999</v>
      </c>
      <c r="F69" s="247"/>
      <c r="G69" s="246"/>
      <c r="H69" s="246">
        <f t="shared" si="6"/>
        <v>0</v>
      </c>
    </row>
    <row r="70" spans="1:8" ht="15" x14ac:dyDescent="0.2">
      <c r="A70" s="2" t="s">
        <v>49</v>
      </c>
      <c r="B70" s="244">
        <f t="shared" si="4"/>
        <v>33450135.589469001</v>
      </c>
      <c r="C70" s="245">
        <v>21171555.206432998</v>
      </c>
      <c r="D70" s="244">
        <v>12278580.383036001</v>
      </c>
      <c r="E70" s="244">
        <f t="shared" si="5"/>
        <v>33450135.589469001</v>
      </c>
      <c r="F70" s="245"/>
      <c r="G70" s="244"/>
      <c r="H70" s="244">
        <f t="shared" si="6"/>
        <v>0</v>
      </c>
    </row>
    <row r="71" spans="1:8" ht="15" x14ac:dyDescent="0.2">
      <c r="A71" s="17" t="s">
        <v>50</v>
      </c>
      <c r="B71" s="246">
        <f t="shared" si="4"/>
        <v>6825196.7863389989</v>
      </c>
      <c r="C71" s="247">
        <v>2550606.3002689998</v>
      </c>
      <c r="D71" s="246">
        <v>4252238.2330700001</v>
      </c>
      <c r="E71" s="246">
        <f t="shared" si="5"/>
        <v>6802844.5333389994</v>
      </c>
      <c r="F71" s="247">
        <v>18111.261000000002</v>
      </c>
      <c r="G71" s="246">
        <v>4240.9920000000002</v>
      </c>
      <c r="H71" s="246">
        <f t="shared" si="6"/>
        <v>22352.253000000004</v>
      </c>
    </row>
    <row r="72" spans="1:8" ht="15" x14ac:dyDescent="0.2">
      <c r="A72" s="2" t="s">
        <v>51</v>
      </c>
      <c r="B72" s="244">
        <f t="shared" si="4"/>
        <v>35509787.880669996</v>
      </c>
      <c r="C72" s="245">
        <v>13873007.663525999</v>
      </c>
      <c r="D72" s="244">
        <v>10217579.937233999</v>
      </c>
      <c r="E72" s="244">
        <f t="shared" si="5"/>
        <v>24090587.600759998</v>
      </c>
      <c r="F72" s="245">
        <v>9081514.5722379982</v>
      </c>
      <c r="G72" s="244">
        <v>2337685.7076719995</v>
      </c>
      <c r="H72" s="244">
        <f t="shared" si="6"/>
        <v>11419200.279909998</v>
      </c>
    </row>
    <row r="73" spans="1:8" ht="15" x14ac:dyDescent="0.2">
      <c r="A73" s="17" t="s">
        <v>52</v>
      </c>
      <c r="B73" s="246">
        <f t="shared" si="4"/>
        <v>14565842.942387002</v>
      </c>
      <c r="C73" s="247">
        <v>4648828.853139</v>
      </c>
      <c r="D73" s="246">
        <v>9552980.5181540009</v>
      </c>
      <c r="E73" s="246">
        <f t="shared" si="5"/>
        <v>14201809.371293001</v>
      </c>
      <c r="F73" s="247">
        <v>294706.59321400005</v>
      </c>
      <c r="G73" s="246">
        <v>69326.977880000006</v>
      </c>
      <c r="H73" s="246">
        <f t="shared" si="6"/>
        <v>364033.57109400007</v>
      </c>
    </row>
    <row r="74" spans="1:8" ht="15" x14ac:dyDescent="0.2">
      <c r="A74" s="2" t="s">
        <v>53</v>
      </c>
      <c r="B74" s="244">
        <f t="shared" si="4"/>
        <v>99960955.233942002</v>
      </c>
      <c r="C74" s="245">
        <v>39737130.223482996</v>
      </c>
      <c r="D74" s="244">
        <v>42443280.206531994</v>
      </c>
      <c r="E74" s="244">
        <f t="shared" si="5"/>
        <v>82180410.430014998</v>
      </c>
      <c r="F74" s="245">
        <v>14283461.121197999</v>
      </c>
      <c r="G74" s="244">
        <v>3497083.6827289998</v>
      </c>
      <c r="H74" s="244">
        <f t="shared" si="6"/>
        <v>17780544.803926997</v>
      </c>
    </row>
    <row r="75" spans="1:8" ht="15" x14ac:dyDescent="0.2">
      <c r="A75" s="17" t="s">
        <v>54</v>
      </c>
      <c r="B75" s="246">
        <f t="shared" si="4"/>
        <v>17340110.747581001</v>
      </c>
      <c r="C75" s="247">
        <v>10440304.79033</v>
      </c>
      <c r="D75" s="246">
        <v>6899805.9572510002</v>
      </c>
      <c r="E75" s="246">
        <f t="shared" si="5"/>
        <v>17340110.747581001</v>
      </c>
      <c r="F75" s="247"/>
      <c r="G75" s="246"/>
      <c r="H75" s="246">
        <f t="shared" si="6"/>
        <v>0</v>
      </c>
    </row>
    <row r="76" spans="1:8" ht="15" x14ac:dyDescent="0.2">
      <c r="A76" s="2" t="s">
        <v>55</v>
      </c>
      <c r="B76" s="244">
        <f t="shared" si="4"/>
        <v>158074574.68153501</v>
      </c>
      <c r="C76" s="245">
        <v>121316845.96186501</v>
      </c>
      <c r="D76" s="244">
        <v>33557093.752825998</v>
      </c>
      <c r="E76" s="244">
        <f t="shared" si="5"/>
        <v>154873939.71469101</v>
      </c>
      <c r="F76" s="245">
        <v>2551702.1625509998</v>
      </c>
      <c r="G76" s="244">
        <v>648932.80429300002</v>
      </c>
      <c r="H76" s="244">
        <f t="shared" si="6"/>
        <v>3200634.9668439999</v>
      </c>
    </row>
    <row r="77" spans="1:8" ht="15" x14ac:dyDescent="0.2">
      <c r="A77" s="17" t="s">
        <v>56</v>
      </c>
      <c r="B77" s="246">
        <f t="shared" si="4"/>
        <v>213741853.38964802</v>
      </c>
      <c r="C77" s="247">
        <v>162034404.80976701</v>
      </c>
      <c r="D77" s="246">
        <v>51707448.579881005</v>
      </c>
      <c r="E77" s="246">
        <f t="shared" si="5"/>
        <v>213741853.38964802</v>
      </c>
      <c r="F77" s="247"/>
      <c r="G77" s="246"/>
      <c r="H77" s="246">
        <f t="shared" si="6"/>
        <v>0</v>
      </c>
    </row>
    <row r="78" spans="1:8" ht="15" x14ac:dyDescent="0.2">
      <c r="A78" s="2" t="s">
        <v>57</v>
      </c>
      <c r="B78" s="244">
        <f t="shared" si="4"/>
        <v>8522561.8585280012</v>
      </c>
      <c r="C78" s="245">
        <v>4887042.4011820005</v>
      </c>
      <c r="D78" s="244">
        <v>3635519.4573460002</v>
      </c>
      <c r="E78" s="244">
        <f t="shared" si="5"/>
        <v>8522561.8585280012</v>
      </c>
      <c r="F78" s="245"/>
      <c r="G78" s="244"/>
      <c r="H78" s="244">
        <f t="shared" si="6"/>
        <v>0</v>
      </c>
    </row>
    <row r="79" spans="1:8" ht="15" x14ac:dyDescent="0.2">
      <c r="A79" s="17" t="s">
        <v>58</v>
      </c>
      <c r="B79" s="246">
        <f t="shared" si="4"/>
        <v>10810390.971453</v>
      </c>
      <c r="C79" s="247">
        <v>5610231.7096010009</v>
      </c>
      <c r="D79" s="246">
        <v>5200159.2618519999</v>
      </c>
      <c r="E79" s="246">
        <f t="shared" si="5"/>
        <v>10810390.971453</v>
      </c>
      <c r="F79" s="247"/>
      <c r="G79" s="246"/>
      <c r="H79" s="246">
        <f t="shared" si="6"/>
        <v>0</v>
      </c>
    </row>
    <row r="80" spans="1:8" ht="15" x14ac:dyDescent="0.2">
      <c r="A80" s="2" t="s">
        <v>59</v>
      </c>
      <c r="B80" s="244">
        <f t="shared" si="4"/>
        <v>34905915.121657997</v>
      </c>
      <c r="C80" s="245">
        <v>19430993.003649</v>
      </c>
      <c r="D80" s="244">
        <v>15474922.118008999</v>
      </c>
      <c r="E80" s="244">
        <f t="shared" si="5"/>
        <v>34905915.121657997</v>
      </c>
      <c r="F80" s="245"/>
      <c r="G80" s="244"/>
      <c r="H80" s="244">
        <f t="shared" si="6"/>
        <v>0</v>
      </c>
    </row>
    <row r="81" spans="1:8" ht="15" x14ac:dyDescent="0.2">
      <c r="A81" s="17" t="s">
        <v>60</v>
      </c>
      <c r="B81" s="246">
        <f t="shared" si="4"/>
        <v>11422830.747809</v>
      </c>
      <c r="C81" s="247">
        <v>4587845.6047790004</v>
      </c>
      <c r="D81" s="246">
        <v>6834985.1430299999</v>
      </c>
      <c r="E81" s="246">
        <f t="shared" si="5"/>
        <v>11422830.747809</v>
      </c>
      <c r="F81" s="247"/>
      <c r="G81" s="246"/>
      <c r="H81" s="246">
        <f t="shared" si="6"/>
        <v>0</v>
      </c>
    </row>
    <row r="82" spans="1:8" ht="15" x14ac:dyDescent="0.2">
      <c r="A82" s="2" t="s">
        <v>61</v>
      </c>
      <c r="B82" s="244">
        <f t="shared" si="4"/>
        <v>4166823.346924</v>
      </c>
      <c r="C82" s="245">
        <v>1006550.3056209999</v>
      </c>
      <c r="D82" s="244">
        <v>2982010.442733</v>
      </c>
      <c r="E82" s="244">
        <f t="shared" si="5"/>
        <v>3988560.748354</v>
      </c>
      <c r="F82" s="245">
        <v>144893.45850000001</v>
      </c>
      <c r="G82" s="244">
        <v>33369.140070000001</v>
      </c>
      <c r="H82" s="244">
        <f t="shared" si="6"/>
        <v>178262.59857</v>
      </c>
    </row>
    <row r="83" spans="1:8" ht="15" x14ac:dyDescent="0.2">
      <c r="A83" s="17" t="s">
        <v>62</v>
      </c>
      <c r="B83" s="246">
        <f t="shared" si="4"/>
        <v>58056219.973844998</v>
      </c>
      <c r="C83" s="247">
        <v>38912630.282384999</v>
      </c>
      <c r="D83" s="246">
        <v>19143589.691459998</v>
      </c>
      <c r="E83" s="246">
        <f t="shared" si="5"/>
        <v>58056219.973844998</v>
      </c>
      <c r="F83" s="247"/>
      <c r="G83" s="246"/>
      <c r="H83" s="246">
        <f t="shared" si="6"/>
        <v>0</v>
      </c>
    </row>
    <row r="84" spans="1:8" ht="15" x14ac:dyDescent="0.2">
      <c r="A84" s="2" t="s">
        <v>333</v>
      </c>
      <c r="B84" s="244">
        <f>SUM(B51:B83)</f>
        <v>2579135991.5108781</v>
      </c>
      <c r="C84" s="245">
        <f t="shared" ref="C84:H84" si="7">SUM(C51:C83)</f>
        <v>1355696032.2573202</v>
      </c>
      <c r="D84" s="244">
        <f t="shared" si="7"/>
        <v>690385737.783252</v>
      </c>
      <c r="E84" s="244">
        <f t="shared" si="7"/>
        <v>2046081770.0405719</v>
      </c>
      <c r="F84" s="245">
        <f t="shared" si="7"/>
        <v>428356085.37752706</v>
      </c>
      <c r="G84" s="244">
        <f t="shared" si="7"/>
        <v>104698136.09277903</v>
      </c>
      <c r="H84" s="244">
        <f t="shared" si="7"/>
        <v>533054221.47030598</v>
      </c>
    </row>
    <row r="85" spans="1:8" ht="15.75" thickBot="1" x14ac:dyDescent="0.25">
      <c r="A85" s="281" t="s">
        <v>422</v>
      </c>
      <c r="B85" s="282">
        <f>E85+H85</f>
        <v>100</v>
      </c>
      <c r="C85" s="283">
        <f>ROUND(C84/$B$84*100,1)</f>
        <v>52.6</v>
      </c>
      <c r="D85" s="282">
        <f>ROUND(D84/$B$84*100,1)</f>
        <v>26.8</v>
      </c>
      <c r="E85" s="282">
        <f t="shared" ref="E85:H85" si="8">ROUND(E84/$B$84*100,1)</f>
        <v>79.3</v>
      </c>
      <c r="F85" s="283">
        <f t="shared" si="8"/>
        <v>16.600000000000001</v>
      </c>
      <c r="G85" s="282">
        <f t="shared" si="8"/>
        <v>4.0999999999999996</v>
      </c>
      <c r="H85" s="282">
        <f t="shared" si="8"/>
        <v>20.7</v>
      </c>
    </row>
    <row r="86" spans="1:8" ht="15" x14ac:dyDescent="0.2">
      <c r="A86" s="2" t="s">
        <v>429</v>
      </c>
      <c r="B86" s="2"/>
      <c r="C86" s="2"/>
      <c r="D86" s="2"/>
      <c r="E86" s="2"/>
      <c r="F86" s="2"/>
      <c r="G86" s="2"/>
      <c r="H86" s="2"/>
    </row>
    <row r="87" spans="1:8" ht="29.25" customHeight="1" x14ac:dyDescent="0.2">
      <c r="A87" s="594" t="s">
        <v>476</v>
      </c>
      <c r="B87" s="595"/>
      <c r="C87" s="595"/>
      <c r="D87" s="595"/>
      <c r="E87" s="595"/>
      <c r="F87" s="595"/>
      <c r="G87" s="595"/>
      <c r="H87" s="595"/>
    </row>
    <row r="88" spans="1:8" x14ac:dyDescent="0.2">
      <c r="C88" s="181"/>
      <c r="D88" s="181"/>
      <c r="E88" s="181"/>
    </row>
    <row r="89" spans="1:8" x14ac:dyDescent="0.2">
      <c r="C89" s="183"/>
    </row>
    <row r="90" spans="1:8" ht="20.25" x14ac:dyDescent="0.3">
      <c r="A90" s="596">
        <v>9</v>
      </c>
      <c r="B90" s="596"/>
      <c r="C90" s="596"/>
      <c r="D90" s="596"/>
      <c r="E90" s="596"/>
      <c r="F90" s="596"/>
      <c r="G90" s="596"/>
      <c r="H90" s="596"/>
    </row>
    <row r="91" spans="1:8" ht="20.25" x14ac:dyDescent="0.3">
      <c r="A91" s="385"/>
      <c r="B91" s="385"/>
      <c r="C91" s="385"/>
      <c r="D91" s="385"/>
      <c r="E91" s="385"/>
      <c r="F91" s="385"/>
      <c r="G91" s="385"/>
      <c r="H91" s="385"/>
    </row>
    <row r="92" spans="1:8" ht="13.5" thickBot="1" x14ac:dyDescent="0.25">
      <c r="A92" s="7" t="s">
        <v>491</v>
      </c>
    </row>
    <row r="93" spans="1:8" ht="15.75" thickBot="1" x14ac:dyDescent="0.25">
      <c r="A93" s="17" t="s">
        <v>31</v>
      </c>
      <c r="B93" s="317">
        <f>B51/1000</f>
        <v>811106.02620230406</v>
      </c>
    </row>
    <row r="94" spans="1:8" ht="15.75" thickBot="1" x14ac:dyDescent="0.25">
      <c r="A94" s="2" t="s">
        <v>32</v>
      </c>
      <c r="B94" s="317">
        <f t="shared" ref="B94:B125" si="9">B52/1000</f>
        <v>2602.3651716620002</v>
      </c>
    </row>
    <row r="95" spans="1:8" ht="15.75" thickBot="1" x14ac:dyDescent="0.25">
      <c r="A95" s="17" t="s">
        <v>33</v>
      </c>
      <c r="B95" s="317">
        <f t="shared" si="9"/>
        <v>38422.615632197005</v>
      </c>
    </row>
    <row r="96" spans="1:8" ht="15.75" thickBot="1" x14ac:dyDescent="0.25">
      <c r="A96" s="2" t="s">
        <v>34</v>
      </c>
      <c r="B96" s="317">
        <f t="shared" si="9"/>
        <v>12792.782596203997</v>
      </c>
    </row>
    <row r="97" spans="1:2" ht="15.75" thickBot="1" x14ac:dyDescent="0.25">
      <c r="A97" s="17" t="s">
        <v>35</v>
      </c>
      <c r="B97" s="317">
        <f t="shared" si="9"/>
        <v>18094.557867081003</v>
      </c>
    </row>
    <row r="98" spans="1:2" ht="15.75" thickBot="1" x14ac:dyDescent="0.25">
      <c r="A98" s="2" t="s">
        <v>36</v>
      </c>
      <c r="B98" s="317">
        <f t="shared" si="9"/>
        <v>23921.582120488001</v>
      </c>
    </row>
    <row r="99" spans="1:2" ht="15.75" thickBot="1" x14ac:dyDescent="0.25">
      <c r="A99" s="17" t="s">
        <v>67</v>
      </c>
      <c r="B99" s="317">
        <f t="shared" si="9"/>
        <v>2240.0591670380004</v>
      </c>
    </row>
    <row r="100" spans="1:2" ht="15.75" thickBot="1" x14ac:dyDescent="0.25">
      <c r="A100" s="2" t="s">
        <v>37</v>
      </c>
      <c r="B100" s="317">
        <f t="shared" si="9"/>
        <v>160001.854497097</v>
      </c>
    </row>
    <row r="101" spans="1:2" ht="15.75" thickBot="1" x14ac:dyDescent="0.25">
      <c r="A101" s="17" t="s">
        <v>38</v>
      </c>
      <c r="B101" s="317">
        <f t="shared" si="9"/>
        <v>296625.42833599698</v>
      </c>
    </row>
    <row r="102" spans="1:2" ht="15.75" thickBot="1" x14ac:dyDescent="0.25">
      <c r="A102" s="2" t="s">
        <v>39</v>
      </c>
      <c r="B102" s="317">
        <f t="shared" si="9"/>
        <v>15813.661315159001</v>
      </c>
    </row>
    <row r="103" spans="1:2" ht="15.75" thickBot="1" x14ac:dyDescent="0.25">
      <c r="A103" s="17" t="s">
        <v>40</v>
      </c>
      <c r="B103" s="317">
        <f t="shared" si="9"/>
        <v>5173.7893986140007</v>
      </c>
    </row>
    <row r="104" spans="1:2" ht="15.75" thickBot="1" x14ac:dyDescent="0.25">
      <c r="A104" s="2" t="s">
        <v>41</v>
      </c>
      <c r="B104" s="317">
        <f t="shared" si="9"/>
        <v>1912.4427226350006</v>
      </c>
    </row>
    <row r="105" spans="1:2" ht="15.75" thickBot="1" x14ac:dyDescent="0.25">
      <c r="A105" s="17" t="s">
        <v>42</v>
      </c>
      <c r="B105" s="317">
        <f t="shared" si="9"/>
        <v>3992.6502098160004</v>
      </c>
    </row>
    <row r="106" spans="1:2" ht="15.75" thickBot="1" x14ac:dyDescent="0.25">
      <c r="A106" s="2" t="s">
        <v>43</v>
      </c>
      <c r="B106" s="317">
        <f t="shared" si="9"/>
        <v>375664.22990160197</v>
      </c>
    </row>
    <row r="107" spans="1:2" ht="15.75" thickBot="1" x14ac:dyDescent="0.25">
      <c r="A107" s="17" t="s">
        <v>44</v>
      </c>
      <c r="B107" s="317">
        <f t="shared" si="9"/>
        <v>35583.527761836995</v>
      </c>
    </row>
    <row r="108" spans="1:2" ht="15.75" thickBot="1" x14ac:dyDescent="0.25">
      <c r="A108" s="2" t="s">
        <v>45</v>
      </c>
      <c r="B108" s="317">
        <f t="shared" si="9"/>
        <v>22773.758451458001</v>
      </c>
    </row>
    <row r="109" spans="1:2" ht="15.75" thickBot="1" x14ac:dyDescent="0.25">
      <c r="A109" s="17" t="s">
        <v>46</v>
      </c>
      <c r="B109" s="317">
        <f t="shared" si="9"/>
        <v>14868.774893531001</v>
      </c>
    </row>
    <row r="110" spans="1:2" ht="15.75" thickBot="1" x14ac:dyDescent="0.25">
      <c r="A110" s="2" t="s">
        <v>47</v>
      </c>
      <c r="B110" s="317">
        <f t="shared" si="9"/>
        <v>26796.056050824005</v>
      </c>
    </row>
    <row r="111" spans="1:2" ht="15.75" thickBot="1" x14ac:dyDescent="0.25">
      <c r="A111" s="17" t="s">
        <v>48</v>
      </c>
      <c r="B111" s="317">
        <f t="shared" si="9"/>
        <v>3396.629943546</v>
      </c>
    </row>
    <row r="112" spans="1:2" ht="15.75" thickBot="1" x14ac:dyDescent="0.25">
      <c r="A112" s="2" t="s">
        <v>49</v>
      </c>
      <c r="B112" s="317">
        <f t="shared" si="9"/>
        <v>33450.135589468999</v>
      </c>
    </row>
    <row r="113" spans="1:2" ht="15.75" thickBot="1" x14ac:dyDescent="0.25">
      <c r="A113" s="17" t="s">
        <v>50</v>
      </c>
      <c r="B113" s="317">
        <f t="shared" si="9"/>
        <v>6825.1967863389991</v>
      </c>
    </row>
    <row r="114" spans="1:2" ht="15.75" thickBot="1" x14ac:dyDescent="0.25">
      <c r="A114" s="2" t="s">
        <v>51</v>
      </c>
      <c r="B114" s="317">
        <f t="shared" si="9"/>
        <v>35509.787880669996</v>
      </c>
    </row>
    <row r="115" spans="1:2" ht="15.75" thickBot="1" x14ac:dyDescent="0.25">
      <c r="A115" s="17" t="s">
        <v>52</v>
      </c>
      <c r="B115" s="317">
        <f t="shared" si="9"/>
        <v>14565.842942387002</v>
      </c>
    </row>
    <row r="116" spans="1:2" ht="15.75" thickBot="1" x14ac:dyDescent="0.25">
      <c r="A116" s="2" t="s">
        <v>53</v>
      </c>
      <c r="B116" s="317">
        <f t="shared" si="9"/>
        <v>99960.955233942004</v>
      </c>
    </row>
    <row r="117" spans="1:2" ht="15.75" thickBot="1" x14ac:dyDescent="0.25">
      <c r="A117" s="17" t="s">
        <v>54</v>
      </c>
      <c r="B117" s="317">
        <f t="shared" si="9"/>
        <v>17340.110747581002</v>
      </c>
    </row>
    <row r="118" spans="1:2" ht="15.75" thickBot="1" x14ac:dyDescent="0.25">
      <c r="A118" s="2" t="s">
        <v>55</v>
      </c>
      <c r="B118" s="317">
        <f t="shared" si="9"/>
        <v>158074.57468153501</v>
      </c>
    </row>
    <row r="119" spans="1:2" ht="15.75" thickBot="1" x14ac:dyDescent="0.25">
      <c r="A119" s="17" t="s">
        <v>56</v>
      </c>
      <c r="B119" s="317">
        <f t="shared" si="9"/>
        <v>213741.85338964802</v>
      </c>
    </row>
    <row r="120" spans="1:2" ht="15.75" thickBot="1" x14ac:dyDescent="0.25">
      <c r="A120" s="2" t="s">
        <v>57</v>
      </c>
      <c r="B120" s="317">
        <f t="shared" si="9"/>
        <v>8522.5618585280008</v>
      </c>
    </row>
    <row r="121" spans="1:2" ht="15.75" thickBot="1" x14ac:dyDescent="0.25">
      <c r="A121" s="17" t="s">
        <v>58</v>
      </c>
      <c r="B121" s="317">
        <f t="shared" si="9"/>
        <v>10810.390971453</v>
      </c>
    </row>
    <row r="122" spans="1:2" ht="15.75" thickBot="1" x14ac:dyDescent="0.25">
      <c r="A122" s="2" t="s">
        <v>59</v>
      </c>
      <c r="B122" s="317">
        <f t="shared" si="9"/>
        <v>34905.915121657999</v>
      </c>
    </row>
    <row r="123" spans="1:2" ht="15.75" thickBot="1" x14ac:dyDescent="0.25">
      <c r="A123" s="17" t="s">
        <v>60</v>
      </c>
      <c r="B123" s="317">
        <f t="shared" si="9"/>
        <v>11422.830747809001</v>
      </c>
    </row>
    <row r="124" spans="1:2" ht="15.75" thickBot="1" x14ac:dyDescent="0.25">
      <c r="A124" s="2" t="s">
        <v>61</v>
      </c>
      <c r="B124" s="317">
        <f t="shared" si="9"/>
        <v>4166.8233469240004</v>
      </c>
    </row>
    <row r="125" spans="1:2" ht="15" x14ac:dyDescent="0.2">
      <c r="A125" s="17" t="s">
        <v>62</v>
      </c>
      <c r="B125" s="317">
        <f t="shared" si="9"/>
        <v>58056.219973845</v>
      </c>
    </row>
  </sheetData>
  <sortState xmlns:xlrd2="http://schemas.microsoft.com/office/spreadsheetml/2017/richdata2" ref="A93:B124">
    <sortCondition ref="A93:A124"/>
  </sortState>
  <mergeCells count="2">
    <mergeCell ref="A87:H87"/>
    <mergeCell ref="A90:H90"/>
  </mergeCells>
  <phoneticPr fontId="0" type="noConversion"/>
  <printOptions horizontalCentered="1"/>
  <pageMargins left="0.32" right="0.17" top="0.27" bottom="0.23" header="0" footer="0.23"/>
  <pageSetup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B1:AP125"/>
  <sheetViews>
    <sheetView showGridLines="0" tabSelected="1" view="pageBreakPreview" zoomScale="110" zoomScaleNormal="100" zoomScaleSheetLayoutView="110" workbookViewId="0">
      <selection activeCell="F31" sqref="F31"/>
    </sheetView>
  </sheetViews>
  <sheetFormatPr defaultRowHeight="12.75" x14ac:dyDescent="0.2"/>
  <cols>
    <col min="3" max="3" width="22.42578125" customWidth="1"/>
    <col min="4" max="4" width="8.5703125" customWidth="1"/>
    <col min="5" max="6" width="10.140625" customWidth="1"/>
    <col min="7" max="7" width="13" customWidth="1"/>
    <col min="8" max="8" width="1.42578125" customWidth="1"/>
    <col min="9" max="9" width="13.28515625" customWidth="1"/>
    <col min="10" max="10" width="14" customWidth="1"/>
    <col min="11" max="11" width="8.85546875" customWidth="1"/>
    <col min="12" max="13" width="10.140625" customWidth="1"/>
    <col min="14" max="14" width="13.42578125" customWidth="1"/>
    <col min="17" max="17" width="10.28515625" customWidth="1"/>
    <col min="18" max="36" width="0" hidden="1" customWidth="1"/>
  </cols>
  <sheetData>
    <row r="1" spans="2:42" ht="18" x14ac:dyDescent="0.25">
      <c r="B1" s="4" t="s">
        <v>443</v>
      </c>
    </row>
    <row r="2" spans="2:42" ht="18" x14ac:dyDescent="0.25">
      <c r="B2" s="5" t="s">
        <v>497</v>
      </c>
      <c r="G2" s="5" t="str">
        <f>'table 1 &amp; 2'!C2</f>
        <v>2022 Tax Year</v>
      </c>
    </row>
    <row r="3" spans="2:42" ht="18" x14ac:dyDescent="0.25">
      <c r="B3" s="5"/>
    </row>
    <row r="4" spans="2:42" ht="21" thickBot="1" x14ac:dyDescent="0.35">
      <c r="B4" s="103" t="s">
        <v>452</v>
      </c>
      <c r="Q4" s="452" t="s">
        <v>533</v>
      </c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</row>
    <row r="5" spans="2:42" ht="20.25" x14ac:dyDescent="0.3">
      <c r="B5" s="103" t="s">
        <v>509</v>
      </c>
      <c r="C5" s="7"/>
      <c r="D5" s="7"/>
      <c r="E5" s="7"/>
      <c r="F5" s="7"/>
      <c r="G5" s="103" t="str">
        <f>G2</f>
        <v>2022 Tax Year</v>
      </c>
      <c r="H5" s="7"/>
      <c r="I5" s="7"/>
      <c r="J5" s="7"/>
      <c r="K5" s="7"/>
      <c r="L5" s="7"/>
      <c r="M5" s="7"/>
      <c r="N5" s="7"/>
      <c r="Q5" s="454" t="s">
        <v>510</v>
      </c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6" t="s">
        <v>511</v>
      </c>
      <c r="AL5" s="457" t="s">
        <v>512</v>
      </c>
    </row>
    <row r="6" spans="2:42" ht="13.5" thickBot="1" x14ac:dyDescent="0.25">
      <c r="B6" s="7"/>
      <c r="C6" s="7"/>
      <c r="D6" s="7"/>
      <c r="E6" s="72"/>
      <c r="F6" s="72"/>
      <c r="G6" s="7"/>
      <c r="H6" s="7"/>
      <c r="I6" s="7"/>
      <c r="J6" s="7"/>
      <c r="K6" s="7"/>
      <c r="N6" s="7"/>
      <c r="Q6" s="458"/>
      <c r="R6" s="459"/>
      <c r="S6" s="459"/>
      <c r="T6" s="459"/>
      <c r="U6" s="459"/>
      <c r="V6" s="459"/>
      <c r="W6" s="459" t="s">
        <v>419</v>
      </c>
      <c r="X6" s="460">
        <f>MAX(X9:X125)</f>
        <v>39.411999999999999</v>
      </c>
      <c r="Y6" s="460">
        <f>MAX(Y9:Y125)</f>
        <v>45.423999999999999</v>
      </c>
      <c r="Z6" s="460">
        <f>MAX(Z9:Z125)</f>
        <v>32.180999999999997</v>
      </c>
      <c r="AA6" s="460">
        <f>MAX(AA9:AA125)</f>
        <v>32.180999999999997</v>
      </c>
      <c r="AB6" s="459"/>
      <c r="AC6" s="459"/>
      <c r="AD6" s="459"/>
      <c r="AE6" s="459"/>
      <c r="AF6" s="460">
        <f>MAX(AF9:AF125)</f>
        <v>34.679000000000002</v>
      </c>
      <c r="AG6" s="460">
        <f>MAX(AG9:AG125)</f>
        <v>41.225000000000001</v>
      </c>
      <c r="AH6" s="460">
        <f>MAX(AH9:AH125)</f>
        <v>31.355</v>
      </c>
      <c r="AI6" s="460">
        <f>MAX(AI9:AI125)</f>
        <v>31.355</v>
      </c>
      <c r="AJ6" s="459"/>
      <c r="AK6" s="460">
        <f>MIN(E9:E11,E14:E68,L9:L67)</f>
        <v>0</v>
      </c>
      <c r="AL6" s="461">
        <f>MIN(F9:F11,F14:F68,M9:M67)</f>
        <v>9.85</v>
      </c>
    </row>
    <row r="7" spans="2:42" x14ac:dyDescent="0.2">
      <c r="D7" s="50" t="s">
        <v>74</v>
      </c>
      <c r="E7" s="46"/>
      <c r="F7" s="46" t="s">
        <v>5</v>
      </c>
      <c r="G7" s="46" t="s">
        <v>30</v>
      </c>
      <c r="H7" s="49"/>
      <c r="K7" t="s">
        <v>74</v>
      </c>
      <c r="L7" s="46"/>
      <c r="M7" s="46" t="s">
        <v>5</v>
      </c>
      <c r="N7" s="46" t="s">
        <v>30</v>
      </c>
      <c r="P7" s="46"/>
      <c r="X7" s="72">
        <f>MIN(X9:X125)</f>
        <v>10.494</v>
      </c>
      <c r="Y7" s="72">
        <f>MIN(Y9:Y125)</f>
        <v>11.127000000000001</v>
      </c>
      <c r="Z7" s="72">
        <f>MIN(Z9:Z125)</f>
        <v>14.5</v>
      </c>
      <c r="AA7" s="72">
        <f>MIN(AA9:AA125)</f>
        <v>14.5</v>
      </c>
      <c r="AF7" s="72">
        <f>MIN(AF9:AF125)</f>
        <v>12.381</v>
      </c>
      <c r="AG7" s="72">
        <f>MIN(AG9:AG125)</f>
        <v>12.868</v>
      </c>
      <c r="AH7" s="72">
        <f>MIN(AH9:AH125)</f>
        <v>15.018000000000001</v>
      </c>
      <c r="AI7" s="72">
        <f>MIN(AI9:AI125)</f>
        <v>15.250999999999999</v>
      </c>
    </row>
    <row r="8" spans="2:42" ht="13.5" thickBot="1" x14ac:dyDescent="0.25">
      <c r="B8" s="47" t="s">
        <v>27</v>
      </c>
      <c r="C8" s="47" t="s">
        <v>75</v>
      </c>
      <c r="D8" s="64" t="s">
        <v>316</v>
      </c>
      <c r="E8" s="68" t="s">
        <v>9</v>
      </c>
      <c r="F8" s="68" t="s">
        <v>9</v>
      </c>
      <c r="G8" s="68" t="s">
        <v>431</v>
      </c>
      <c r="H8" s="69"/>
      <c r="I8" s="47" t="s">
        <v>27</v>
      </c>
      <c r="J8" s="47" t="s">
        <v>75</v>
      </c>
      <c r="K8" s="47" t="s">
        <v>316</v>
      </c>
      <c r="L8" s="68" t="s">
        <v>9</v>
      </c>
      <c r="M8" s="68" t="s">
        <v>9</v>
      </c>
      <c r="N8" s="68" t="s">
        <v>431</v>
      </c>
    </row>
    <row r="9" spans="2:42" x14ac:dyDescent="0.2">
      <c r="B9" s="52" t="s">
        <v>31</v>
      </c>
      <c r="C9" s="52" t="s">
        <v>76</v>
      </c>
      <c r="D9" s="52" t="s">
        <v>77</v>
      </c>
      <c r="E9" s="126">
        <v>47.602000000000004</v>
      </c>
      <c r="F9" s="126">
        <v>54.30899999999999</v>
      </c>
      <c r="G9" s="126"/>
      <c r="H9" s="58"/>
      <c r="I9" s="52" t="s">
        <v>38</v>
      </c>
      <c r="J9" s="52" t="s">
        <v>313</v>
      </c>
      <c r="K9" s="52" t="s">
        <v>290</v>
      </c>
      <c r="L9" s="126">
        <v>28.396000000000001</v>
      </c>
      <c r="M9" s="126">
        <v>30.808999999999997</v>
      </c>
      <c r="N9" s="126">
        <v>23.31</v>
      </c>
      <c r="U9" s="52" t="s">
        <v>31</v>
      </c>
      <c r="V9" s="52" t="s">
        <v>76</v>
      </c>
      <c r="W9" s="52" t="s">
        <v>77</v>
      </c>
      <c r="X9" s="96">
        <v>39.411999999999999</v>
      </c>
      <c r="Y9" s="96">
        <v>45.423999999999999</v>
      </c>
      <c r="Z9" s="99"/>
      <c r="AA9" s="99"/>
      <c r="AB9" s="58"/>
      <c r="AC9" s="52" t="s">
        <v>38</v>
      </c>
      <c r="AD9" s="52" t="s">
        <v>313</v>
      </c>
      <c r="AE9" s="52" t="s">
        <v>290</v>
      </c>
      <c r="AF9" s="96">
        <v>22.181000000000001</v>
      </c>
      <c r="AG9" s="96">
        <v>23.199000000000002</v>
      </c>
      <c r="AH9" s="96">
        <v>23.199000000000002</v>
      </c>
      <c r="AI9" s="96">
        <v>23.199000000000002</v>
      </c>
    </row>
    <row r="10" spans="2:42" x14ac:dyDescent="0.2">
      <c r="B10" s="6"/>
      <c r="C10" s="6" t="s">
        <v>82</v>
      </c>
      <c r="D10" s="6" t="s">
        <v>77</v>
      </c>
      <c r="E10" s="186">
        <v>37.394000000000005</v>
      </c>
      <c r="F10" s="186">
        <v>43.788999999999994</v>
      </c>
      <c r="G10" s="186"/>
      <c r="H10" s="51"/>
      <c r="I10" s="6" t="s">
        <v>83</v>
      </c>
      <c r="J10" s="6" t="s">
        <v>78</v>
      </c>
      <c r="K10" s="6" t="s">
        <v>79</v>
      </c>
      <c r="L10" s="186">
        <v>22.762999999999995</v>
      </c>
      <c r="M10" s="186">
        <v>28.608999999999998</v>
      </c>
      <c r="N10" s="186"/>
      <c r="U10" s="6"/>
      <c r="V10" s="6" t="s">
        <v>82</v>
      </c>
      <c r="W10" s="6" t="s">
        <v>77</v>
      </c>
      <c r="X10" s="130">
        <v>29.277999999999999</v>
      </c>
      <c r="Y10" s="130">
        <v>34.817999999999998</v>
      </c>
      <c r="Z10" s="21"/>
      <c r="AA10" s="21"/>
      <c r="AB10" s="51"/>
      <c r="AC10" s="6" t="s">
        <v>83</v>
      </c>
      <c r="AD10" s="6" t="s">
        <v>78</v>
      </c>
      <c r="AE10" s="6" t="s">
        <v>79</v>
      </c>
      <c r="AF10" s="130">
        <v>25.457999999999998</v>
      </c>
      <c r="AG10" s="130">
        <v>28.623999999999999</v>
      </c>
      <c r="AH10" s="21"/>
      <c r="AI10" s="21"/>
    </row>
    <row r="11" spans="2:42" x14ac:dyDescent="0.2">
      <c r="B11" s="52"/>
      <c r="C11" s="52" t="s">
        <v>86</v>
      </c>
      <c r="D11" s="52" t="s">
        <v>77</v>
      </c>
      <c r="E11" s="126">
        <v>31.363</v>
      </c>
      <c r="F11" s="126">
        <v>37.529000000000003</v>
      </c>
      <c r="G11" s="126"/>
      <c r="H11" s="58"/>
      <c r="I11" s="52"/>
      <c r="J11" s="52"/>
      <c r="K11" s="52" t="s">
        <v>84</v>
      </c>
      <c r="L11" s="126">
        <v>26.375</v>
      </c>
      <c r="M11" s="126">
        <v>29.621000000000002</v>
      </c>
      <c r="N11" s="126">
        <v>22.566000000000003</v>
      </c>
      <c r="U11" s="52"/>
      <c r="V11" s="52" t="s">
        <v>86</v>
      </c>
      <c r="W11" s="52" t="s">
        <v>77</v>
      </c>
      <c r="X11" s="96">
        <v>29.210999999999999</v>
      </c>
      <c r="Y11" s="96">
        <v>36.128999999999998</v>
      </c>
      <c r="Z11" s="99"/>
      <c r="AA11" s="99"/>
      <c r="AB11" s="58"/>
      <c r="AC11" s="52"/>
      <c r="AD11" s="52"/>
      <c r="AE11" s="52" t="s">
        <v>84</v>
      </c>
      <c r="AF11" s="96">
        <v>16.963000000000001</v>
      </c>
      <c r="AG11" s="96">
        <v>17.678000000000001</v>
      </c>
      <c r="AH11" s="96">
        <v>17.678000000000001</v>
      </c>
      <c r="AI11" s="96">
        <v>17.678000000000001</v>
      </c>
    </row>
    <row r="12" spans="2:42" x14ac:dyDescent="0.2">
      <c r="C12" t="s">
        <v>572</v>
      </c>
      <c r="D12" t="s">
        <v>91</v>
      </c>
      <c r="E12" s="136">
        <v>0.26</v>
      </c>
      <c r="F12" s="136">
        <v>0.26</v>
      </c>
      <c r="G12" s="136"/>
      <c r="H12" s="49"/>
      <c r="K12" t="s">
        <v>87</v>
      </c>
      <c r="L12" s="136">
        <v>13.204999999999998</v>
      </c>
      <c r="M12" s="136">
        <v>15.433999999999999</v>
      </c>
      <c r="N12" s="136">
        <v>14.802999999999999</v>
      </c>
      <c r="V12" t="s">
        <v>90</v>
      </c>
      <c r="W12" t="s">
        <v>91</v>
      </c>
      <c r="X12" s="95">
        <v>37.197000000000003</v>
      </c>
      <c r="Y12" s="95">
        <v>37.197000000000003</v>
      </c>
      <c r="Z12" s="46"/>
      <c r="AA12" s="46"/>
      <c r="AB12" s="49"/>
      <c r="AE12" t="s">
        <v>87</v>
      </c>
      <c r="AF12" s="95">
        <v>15.018000000000001</v>
      </c>
      <c r="AG12" s="95">
        <v>15.018000000000001</v>
      </c>
      <c r="AH12" s="95">
        <v>15.018000000000001</v>
      </c>
      <c r="AI12" s="95">
        <v>22.181000000000001</v>
      </c>
    </row>
    <row r="13" spans="2:42" x14ac:dyDescent="0.2">
      <c r="B13" s="52"/>
      <c r="C13" s="52" t="s">
        <v>95</v>
      </c>
      <c r="D13" s="52" t="s">
        <v>96</v>
      </c>
      <c r="E13" s="66" t="s">
        <v>69</v>
      </c>
      <c r="F13" s="126">
        <v>46.875999999999991</v>
      </c>
      <c r="G13" s="126"/>
      <c r="H13" s="58"/>
      <c r="I13" s="52"/>
      <c r="J13" s="52"/>
      <c r="K13" s="52" t="s">
        <v>92</v>
      </c>
      <c r="L13" s="126">
        <v>26.708999999999996</v>
      </c>
      <c r="M13" s="126">
        <v>29.008999999999997</v>
      </c>
      <c r="N13" s="126">
        <v>19.809999999999999</v>
      </c>
      <c r="U13" s="52"/>
      <c r="V13" s="52" t="s">
        <v>95</v>
      </c>
      <c r="W13" s="52" t="s">
        <v>96</v>
      </c>
      <c r="X13" s="98" t="s">
        <v>69</v>
      </c>
      <c r="Y13" s="96">
        <v>26.207000000000001</v>
      </c>
      <c r="Z13" s="99"/>
      <c r="AA13" s="99"/>
      <c r="AB13" s="58"/>
      <c r="AC13" s="52"/>
      <c r="AD13" s="52"/>
      <c r="AE13" s="52" t="s">
        <v>92</v>
      </c>
      <c r="AF13" s="96">
        <v>20.253</v>
      </c>
      <c r="AG13" s="96">
        <v>20.974</v>
      </c>
      <c r="AH13" s="96">
        <v>20.974</v>
      </c>
      <c r="AI13" s="96">
        <v>20.974</v>
      </c>
    </row>
    <row r="14" spans="2:42" x14ac:dyDescent="0.2">
      <c r="C14" t="s">
        <v>100</v>
      </c>
      <c r="D14" t="s">
        <v>102</v>
      </c>
      <c r="E14" s="136">
        <v>0</v>
      </c>
      <c r="F14" s="136">
        <v>39.304000000000002</v>
      </c>
      <c r="G14" s="136"/>
      <c r="H14" s="49"/>
      <c r="I14" t="s">
        <v>39</v>
      </c>
      <c r="J14" t="s">
        <v>97</v>
      </c>
      <c r="K14" t="s">
        <v>98</v>
      </c>
      <c r="L14" s="136">
        <v>17.593</v>
      </c>
      <c r="M14" s="136">
        <v>22.725000000000001</v>
      </c>
      <c r="N14" s="136"/>
      <c r="W14" t="s">
        <v>102</v>
      </c>
      <c r="X14" s="95">
        <v>28.364000000000001</v>
      </c>
      <c r="Y14" s="95">
        <v>33.904000000000003</v>
      </c>
      <c r="Z14" s="46"/>
      <c r="AA14" s="46"/>
      <c r="AB14" s="49"/>
      <c r="AC14" t="s">
        <v>39</v>
      </c>
      <c r="AD14" t="s">
        <v>97</v>
      </c>
      <c r="AE14" t="s">
        <v>98</v>
      </c>
      <c r="AF14" s="95">
        <v>15.425000000000001</v>
      </c>
      <c r="AG14" s="95">
        <v>22.074999999999999</v>
      </c>
      <c r="AH14" s="46"/>
      <c r="AI14" s="46"/>
    </row>
    <row r="15" spans="2:42" x14ac:dyDescent="0.2">
      <c r="B15" s="52"/>
      <c r="C15" s="52" t="s">
        <v>548</v>
      </c>
      <c r="D15" s="347" t="s">
        <v>102</v>
      </c>
      <c r="E15" s="126">
        <v>36.393999999999998</v>
      </c>
      <c r="F15" s="126">
        <v>42.788999999999994</v>
      </c>
      <c r="G15" s="126"/>
      <c r="H15" s="58"/>
      <c r="I15" s="52"/>
      <c r="J15" s="52" t="s">
        <v>103</v>
      </c>
      <c r="K15" s="52" t="s">
        <v>104</v>
      </c>
      <c r="L15" s="126">
        <v>21.065000000000001</v>
      </c>
      <c r="M15" s="126">
        <v>27.125999999999998</v>
      </c>
      <c r="N15" s="126"/>
      <c r="U15" s="52"/>
      <c r="V15" s="52"/>
      <c r="W15" s="52" t="s">
        <v>108</v>
      </c>
      <c r="X15" s="96">
        <v>26.207000000000001</v>
      </c>
      <c r="Y15" s="96">
        <v>26.207000000000001</v>
      </c>
      <c r="Z15" s="99"/>
      <c r="AA15" s="99"/>
      <c r="AB15" s="58"/>
      <c r="AC15" s="52"/>
      <c r="AD15" s="52" t="s">
        <v>103</v>
      </c>
      <c r="AE15" s="52" t="s">
        <v>104</v>
      </c>
      <c r="AF15" s="96">
        <v>20.797999999999998</v>
      </c>
      <c r="AG15" s="96">
        <v>25.523</v>
      </c>
      <c r="AH15" s="99"/>
      <c r="AI15" s="99"/>
    </row>
    <row r="16" spans="2:42" x14ac:dyDescent="0.2">
      <c r="D16" t="s">
        <v>108</v>
      </c>
      <c r="E16" s="136" t="s">
        <v>69</v>
      </c>
      <c r="F16" s="136">
        <v>31.631</v>
      </c>
      <c r="G16" s="136"/>
      <c r="H16" s="49"/>
      <c r="J16" t="s">
        <v>109</v>
      </c>
      <c r="K16" t="s">
        <v>110</v>
      </c>
      <c r="L16" s="136">
        <v>21.128</v>
      </c>
      <c r="M16" s="136">
        <v>27.126000000000001</v>
      </c>
      <c r="N16" s="136"/>
      <c r="W16" t="s">
        <v>113</v>
      </c>
      <c r="X16" s="95">
        <v>26.207000000000001</v>
      </c>
      <c r="Y16" s="95">
        <v>30.658000000000001</v>
      </c>
      <c r="Z16" s="46"/>
      <c r="AA16" s="46"/>
      <c r="AB16" s="49"/>
      <c r="AD16" t="s">
        <v>109</v>
      </c>
      <c r="AE16" t="s">
        <v>110</v>
      </c>
      <c r="AF16" s="95">
        <v>20.725999999999999</v>
      </c>
      <c r="AG16" s="95">
        <v>27.087</v>
      </c>
      <c r="AH16" s="46"/>
      <c r="AI16" s="46"/>
    </row>
    <row r="17" spans="2:35" x14ac:dyDescent="0.2">
      <c r="B17" s="52"/>
      <c r="C17" s="52"/>
      <c r="D17" s="52" t="s">
        <v>113</v>
      </c>
      <c r="E17" s="126">
        <v>26.651</v>
      </c>
      <c r="F17" s="126">
        <v>30.631</v>
      </c>
      <c r="G17" s="126"/>
      <c r="H17" s="58"/>
      <c r="I17" s="52"/>
      <c r="J17" s="52" t="s">
        <v>114</v>
      </c>
      <c r="K17" s="52" t="s">
        <v>115</v>
      </c>
      <c r="L17" s="126">
        <v>20.794</v>
      </c>
      <c r="M17" s="126">
        <v>26.126000000000001</v>
      </c>
      <c r="N17" s="126"/>
      <c r="U17" s="52" t="s">
        <v>32</v>
      </c>
      <c r="V17" s="52" t="s">
        <v>118</v>
      </c>
      <c r="W17" s="52" t="s">
        <v>119</v>
      </c>
      <c r="X17" s="96">
        <v>14.997</v>
      </c>
      <c r="Y17" s="96">
        <v>13.119</v>
      </c>
      <c r="Z17" s="99"/>
      <c r="AA17" s="99"/>
      <c r="AB17" s="58"/>
      <c r="AC17" s="52"/>
      <c r="AD17" s="52" t="s">
        <v>114</v>
      </c>
      <c r="AE17" s="52" t="s">
        <v>115</v>
      </c>
      <c r="AF17" s="96">
        <v>20.116</v>
      </c>
      <c r="AG17" s="96">
        <v>26.251000000000001</v>
      </c>
      <c r="AH17" s="99"/>
      <c r="AI17" s="99"/>
    </row>
    <row r="18" spans="2:35" x14ac:dyDescent="0.2">
      <c r="B18" t="s">
        <v>32</v>
      </c>
      <c r="C18" t="s">
        <v>118</v>
      </c>
      <c r="D18" t="s">
        <v>119</v>
      </c>
      <c r="E18" s="136">
        <v>19.855</v>
      </c>
      <c r="F18" s="136">
        <v>20.465</v>
      </c>
      <c r="G18" s="136"/>
      <c r="H18" s="49"/>
      <c r="K18" t="s">
        <v>80</v>
      </c>
      <c r="L18" s="136">
        <v>22.555999999999997</v>
      </c>
      <c r="M18" s="136">
        <v>30.699999999999996</v>
      </c>
      <c r="N18" s="136">
        <v>20.259999999999998</v>
      </c>
      <c r="W18" t="s">
        <v>121</v>
      </c>
      <c r="X18" s="95">
        <v>11.127000000000001</v>
      </c>
      <c r="Y18" s="95">
        <v>11.127000000000001</v>
      </c>
      <c r="Z18" s="46"/>
      <c r="AA18" s="46"/>
      <c r="AB18" s="49"/>
      <c r="AE18" t="s">
        <v>80</v>
      </c>
      <c r="AF18" s="95">
        <v>19.696999999999999</v>
      </c>
      <c r="AG18" s="95">
        <v>19.696999999999999</v>
      </c>
      <c r="AH18" s="95">
        <v>20.797999999999998</v>
      </c>
      <c r="AI18" s="46"/>
    </row>
    <row r="19" spans="2:35" x14ac:dyDescent="0.2">
      <c r="B19" s="52"/>
      <c r="C19" s="52"/>
      <c r="D19" s="52" t="s">
        <v>121</v>
      </c>
      <c r="E19" s="126">
        <v>18.664000000000001</v>
      </c>
      <c r="F19" s="126">
        <v>19.239999999999998</v>
      </c>
      <c r="G19" s="589"/>
      <c r="H19" s="58"/>
      <c r="I19" s="52"/>
      <c r="J19" s="52"/>
      <c r="K19" s="52" t="s">
        <v>122</v>
      </c>
      <c r="L19" s="126">
        <v>17.959000000000003</v>
      </c>
      <c r="M19" s="126">
        <v>23.261000000000003</v>
      </c>
      <c r="N19" s="126">
        <v>23.260999999999999</v>
      </c>
      <c r="U19" s="52"/>
      <c r="V19" s="52"/>
      <c r="W19" s="52" t="s">
        <v>126</v>
      </c>
      <c r="X19" s="96">
        <v>16.861000000000001</v>
      </c>
      <c r="Y19" s="96">
        <v>15.135</v>
      </c>
      <c r="Z19" s="99"/>
      <c r="AA19" s="99"/>
      <c r="AB19" s="58"/>
      <c r="AC19" s="52"/>
      <c r="AD19" s="52"/>
      <c r="AE19" s="52" t="s">
        <v>122</v>
      </c>
      <c r="AF19" s="96">
        <v>19.463999999999999</v>
      </c>
      <c r="AG19" s="96">
        <v>19.463999999999999</v>
      </c>
      <c r="AH19" s="96">
        <v>19.463999999999999</v>
      </c>
      <c r="AI19" s="99"/>
    </row>
    <row r="20" spans="2:35" x14ac:dyDescent="0.2">
      <c r="D20" t="s">
        <v>126</v>
      </c>
      <c r="E20" s="136">
        <v>17.513999999999999</v>
      </c>
      <c r="F20" s="136">
        <v>18.13</v>
      </c>
      <c r="G20" s="136"/>
      <c r="H20" s="49"/>
      <c r="I20" t="s">
        <v>40</v>
      </c>
      <c r="J20" t="s">
        <v>127</v>
      </c>
      <c r="K20" t="s">
        <v>128</v>
      </c>
      <c r="L20" s="136">
        <v>27.927000000000003</v>
      </c>
      <c r="M20" s="136">
        <v>31.756</v>
      </c>
      <c r="N20" s="136"/>
      <c r="W20" s="56" t="s">
        <v>132</v>
      </c>
      <c r="X20" s="95">
        <v>16.861000000000001</v>
      </c>
      <c r="Y20" s="95">
        <v>15.135</v>
      </c>
      <c r="Z20" s="46"/>
      <c r="AA20" s="46"/>
      <c r="AB20" s="49"/>
      <c r="AC20" t="s">
        <v>40</v>
      </c>
      <c r="AD20" t="s">
        <v>127</v>
      </c>
      <c r="AE20" t="s">
        <v>128</v>
      </c>
      <c r="AF20" s="95">
        <v>30.309000000000001</v>
      </c>
      <c r="AG20" s="95">
        <v>35.433999999999997</v>
      </c>
      <c r="AH20" s="46"/>
      <c r="AI20" s="46"/>
    </row>
    <row r="21" spans="2:35" x14ac:dyDescent="0.2">
      <c r="B21" s="52"/>
      <c r="C21" s="52"/>
      <c r="D21" s="52" t="s">
        <v>132</v>
      </c>
      <c r="E21" s="126">
        <v>17.514000000000003</v>
      </c>
      <c r="F21" s="126">
        <v>18.13</v>
      </c>
      <c r="G21" s="589"/>
      <c r="H21" s="58"/>
      <c r="I21" s="52"/>
      <c r="J21" s="52" t="s">
        <v>133</v>
      </c>
      <c r="K21" s="52" t="s">
        <v>134</v>
      </c>
      <c r="L21" s="126">
        <v>28.138000000000002</v>
      </c>
      <c r="M21" s="126">
        <v>30.766999999999999</v>
      </c>
      <c r="N21" s="126"/>
      <c r="U21" s="52" t="s">
        <v>33</v>
      </c>
      <c r="V21" s="52" t="s">
        <v>138</v>
      </c>
      <c r="W21" s="55" t="s">
        <v>139</v>
      </c>
      <c r="X21" s="96">
        <v>26.626999999999999</v>
      </c>
      <c r="Y21" s="96">
        <v>30.983000000000001</v>
      </c>
      <c r="Z21" s="99"/>
      <c r="AA21" s="99"/>
      <c r="AB21" s="58"/>
      <c r="AC21" s="52"/>
      <c r="AD21" s="52" t="s">
        <v>133</v>
      </c>
      <c r="AE21" s="52" t="s">
        <v>134</v>
      </c>
      <c r="AF21" s="96">
        <v>28.698</v>
      </c>
      <c r="AG21" s="96">
        <v>32.274000000000001</v>
      </c>
      <c r="AH21" s="99"/>
      <c r="AI21" s="99"/>
    </row>
    <row r="22" spans="2:35" x14ac:dyDescent="0.2">
      <c r="B22" t="s">
        <v>33</v>
      </c>
      <c r="C22" t="s">
        <v>138</v>
      </c>
      <c r="D22" t="s">
        <v>139</v>
      </c>
      <c r="E22" s="136">
        <v>27.808999999999997</v>
      </c>
      <c r="F22" s="136">
        <v>34</v>
      </c>
      <c r="G22" s="136"/>
      <c r="H22" s="49"/>
      <c r="K22" t="s">
        <v>150</v>
      </c>
      <c r="L22" s="136">
        <v>24.457999999999998</v>
      </c>
      <c r="M22" s="136">
        <v>27.817999999999998</v>
      </c>
      <c r="N22" s="136"/>
      <c r="V22" t="s">
        <v>144</v>
      </c>
      <c r="W22" s="56" t="s">
        <v>145</v>
      </c>
      <c r="X22" s="95">
        <v>25.666</v>
      </c>
      <c r="Y22" s="95">
        <v>25.666</v>
      </c>
      <c r="Z22" s="46"/>
      <c r="AA22" s="46"/>
      <c r="AB22" s="49"/>
      <c r="AE22" t="s">
        <v>150</v>
      </c>
      <c r="AF22" s="95">
        <v>26.132000000000001</v>
      </c>
      <c r="AG22" s="95">
        <v>30.495999999999999</v>
      </c>
      <c r="AH22" s="46"/>
      <c r="AI22" s="46"/>
    </row>
    <row r="23" spans="2:35" x14ac:dyDescent="0.2">
      <c r="B23" s="52"/>
      <c r="C23" s="52" t="s">
        <v>144</v>
      </c>
      <c r="D23" s="52" t="s">
        <v>145</v>
      </c>
      <c r="E23" s="126">
        <v>23.015000000000001</v>
      </c>
      <c r="F23" s="126">
        <v>28.824999999999996</v>
      </c>
      <c r="G23" s="589"/>
      <c r="H23" s="58"/>
      <c r="I23" s="52"/>
      <c r="J23" s="52"/>
      <c r="K23" s="52" t="s">
        <v>154</v>
      </c>
      <c r="L23" s="126">
        <v>21.488</v>
      </c>
      <c r="M23" s="126">
        <v>24.117000000000001</v>
      </c>
      <c r="N23" s="126"/>
      <c r="U23" s="52"/>
      <c r="V23" s="52" t="s">
        <v>148</v>
      </c>
      <c r="W23" s="55" t="s">
        <v>149</v>
      </c>
      <c r="X23" s="96">
        <v>23.216999999999999</v>
      </c>
      <c r="Y23" s="96">
        <v>28.138999999999999</v>
      </c>
      <c r="Z23" s="99"/>
      <c r="AA23" s="99"/>
      <c r="AB23" s="58"/>
      <c r="AC23" s="52"/>
      <c r="AD23" s="52"/>
      <c r="AE23" s="52" t="s">
        <v>154</v>
      </c>
      <c r="AF23" s="96">
        <v>21.047999999999998</v>
      </c>
      <c r="AG23" s="96">
        <v>24.623999999999999</v>
      </c>
      <c r="AH23" s="99"/>
      <c r="AI23" s="99"/>
    </row>
    <row r="24" spans="2:35" x14ac:dyDescent="0.2">
      <c r="C24" t="s">
        <v>148</v>
      </c>
      <c r="D24" t="s">
        <v>149</v>
      </c>
      <c r="E24" s="136">
        <v>26.505999999999997</v>
      </c>
      <c r="F24" s="136">
        <v>32.936999999999998</v>
      </c>
      <c r="G24" s="136"/>
      <c r="H24" s="49"/>
      <c r="I24" t="s">
        <v>41</v>
      </c>
      <c r="J24" t="s">
        <v>140</v>
      </c>
      <c r="K24" t="s">
        <v>141</v>
      </c>
      <c r="L24" s="136">
        <v>18.715</v>
      </c>
      <c r="M24" s="136">
        <v>21.561999999999998</v>
      </c>
      <c r="N24" s="136"/>
      <c r="V24" t="s">
        <v>153</v>
      </c>
      <c r="W24" t="s">
        <v>322</v>
      </c>
      <c r="X24" s="95">
        <v>15.856999999999999</v>
      </c>
      <c r="Y24" s="95">
        <v>19.834</v>
      </c>
      <c r="Z24" s="46"/>
      <c r="AA24" s="46"/>
      <c r="AB24" s="49"/>
      <c r="AC24" t="s">
        <v>41</v>
      </c>
      <c r="AD24" t="s">
        <v>140</v>
      </c>
      <c r="AE24" t="s">
        <v>141</v>
      </c>
      <c r="AF24" s="95">
        <v>18.727</v>
      </c>
      <c r="AG24" s="95">
        <v>20.739000000000001</v>
      </c>
      <c r="AH24" s="46"/>
      <c r="AI24" s="46"/>
    </row>
    <row r="25" spans="2:35" x14ac:dyDescent="0.2">
      <c r="B25" s="52"/>
      <c r="C25" s="52" t="s">
        <v>153</v>
      </c>
      <c r="D25" s="52" t="s">
        <v>322</v>
      </c>
      <c r="E25" s="126">
        <v>22.866</v>
      </c>
      <c r="F25" s="126">
        <v>28.259999999999998</v>
      </c>
      <c r="G25" s="589"/>
      <c r="H25" s="59"/>
      <c r="I25" s="8"/>
      <c r="J25" s="52" t="s">
        <v>146</v>
      </c>
      <c r="K25" s="52" t="s">
        <v>147</v>
      </c>
      <c r="L25" s="126">
        <v>25.143000000000001</v>
      </c>
      <c r="M25" s="126">
        <v>28.161000000000001</v>
      </c>
      <c r="N25" s="126"/>
      <c r="U25" s="52"/>
      <c r="V25" s="52"/>
      <c r="W25" s="52" t="s">
        <v>323</v>
      </c>
      <c r="X25" s="96">
        <v>19.151</v>
      </c>
      <c r="Y25" s="96">
        <v>30.983000000000001</v>
      </c>
      <c r="Z25" s="96">
        <v>22.024999999999999</v>
      </c>
      <c r="AA25" s="96">
        <v>22.024999999999999</v>
      </c>
      <c r="AB25" s="59"/>
      <c r="AC25" s="8"/>
      <c r="AD25" s="52" t="s">
        <v>146</v>
      </c>
      <c r="AE25" s="52" t="s">
        <v>147</v>
      </c>
      <c r="AF25" s="96">
        <v>15.250999999999999</v>
      </c>
      <c r="AG25" s="96">
        <v>17.111999999999998</v>
      </c>
      <c r="AH25" s="99"/>
      <c r="AI25" s="99"/>
    </row>
    <row r="26" spans="2:35" x14ac:dyDescent="0.2">
      <c r="D26" t="s">
        <v>323</v>
      </c>
      <c r="E26" s="136">
        <v>22.05</v>
      </c>
      <c r="F26" s="136">
        <v>27.35</v>
      </c>
      <c r="G26" s="136">
        <v>20.849999999999998</v>
      </c>
      <c r="H26" s="60"/>
      <c r="K26" t="s">
        <v>156</v>
      </c>
      <c r="L26" s="136">
        <v>19.257999999999999</v>
      </c>
      <c r="M26" s="136">
        <v>21.337000000000003</v>
      </c>
      <c r="N26" s="136">
        <v>19.627000000000002</v>
      </c>
      <c r="W26" t="s">
        <v>159</v>
      </c>
      <c r="X26" s="95">
        <v>20.765000000000001</v>
      </c>
      <c r="Y26" s="95">
        <v>24.591999999999999</v>
      </c>
      <c r="Z26" s="95">
        <v>23.591999999999999</v>
      </c>
      <c r="AA26" s="95">
        <v>23.591999999999999</v>
      </c>
      <c r="AB26" s="60"/>
      <c r="AE26" t="s">
        <v>156</v>
      </c>
      <c r="AF26" s="95">
        <v>18.513999999999999</v>
      </c>
      <c r="AG26" s="95">
        <v>19.530999999999999</v>
      </c>
      <c r="AH26" s="95">
        <v>19.530999999999999</v>
      </c>
      <c r="AI26" s="95">
        <v>15.250999999999999</v>
      </c>
    </row>
    <row r="27" spans="2:35" x14ac:dyDescent="0.2">
      <c r="B27" s="52"/>
      <c r="C27" s="52"/>
      <c r="D27" s="52" t="s">
        <v>159</v>
      </c>
      <c r="E27" s="126">
        <v>23.279</v>
      </c>
      <c r="F27" s="126">
        <v>29.1</v>
      </c>
      <c r="G27" s="126">
        <v>20.349999999999998</v>
      </c>
      <c r="H27" s="59"/>
      <c r="I27" s="52"/>
      <c r="J27" s="52"/>
      <c r="K27" s="52" t="s">
        <v>160</v>
      </c>
      <c r="L27" s="126">
        <v>25.802</v>
      </c>
      <c r="M27" s="126">
        <v>27.936</v>
      </c>
      <c r="N27" s="126">
        <v>26.191000000000003</v>
      </c>
      <c r="U27" s="52"/>
      <c r="V27" s="52"/>
      <c r="W27" s="52" t="s">
        <v>161</v>
      </c>
      <c r="X27" s="96">
        <v>22.962</v>
      </c>
      <c r="Y27" s="96">
        <v>26.914000000000001</v>
      </c>
      <c r="Z27" s="96">
        <v>25.914000000000001</v>
      </c>
      <c r="AA27" s="96">
        <v>25.914000000000001</v>
      </c>
      <c r="AB27" s="59"/>
      <c r="AC27" s="52"/>
      <c r="AD27" s="52"/>
      <c r="AE27" s="52" t="s">
        <v>160</v>
      </c>
      <c r="AF27" s="96">
        <v>13.798</v>
      </c>
      <c r="AG27" s="96">
        <v>14.887</v>
      </c>
      <c r="AH27" s="96">
        <v>16.193000000000001</v>
      </c>
      <c r="AI27" s="96">
        <v>16.193000000000001</v>
      </c>
    </row>
    <row r="28" spans="2:35" x14ac:dyDescent="0.2">
      <c r="D28" t="s">
        <v>161</v>
      </c>
      <c r="E28" s="136">
        <v>27.350999999999999</v>
      </c>
      <c r="F28" s="136">
        <v>32.712000000000003</v>
      </c>
      <c r="G28" s="136">
        <v>25.211999999999996</v>
      </c>
      <c r="H28" s="60"/>
      <c r="K28" t="s">
        <v>162</v>
      </c>
      <c r="L28" s="136">
        <v>20.253</v>
      </c>
      <c r="M28" s="136">
        <v>22.222999999999999</v>
      </c>
      <c r="N28" s="136"/>
      <c r="W28" t="s">
        <v>165</v>
      </c>
      <c r="X28" s="95">
        <v>13.773</v>
      </c>
      <c r="Y28" s="95">
        <v>17.609000000000002</v>
      </c>
      <c r="Z28" s="95">
        <v>17.609000000000002</v>
      </c>
      <c r="AA28" s="95">
        <v>17.609000000000002</v>
      </c>
      <c r="AB28" s="60"/>
      <c r="AE28" t="s">
        <v>162</v>
      </c>
      <c r="AF28" s="95">
        <v>17.274999999999999</v>
      </c>
      <c r="AG28" s="95">
        <v>19.042999999999999</v>
      </c>
      <c r="AH28" s="46"/>
      <c r="AI28" s="46"/>
    </row>
    <row r="29" spans="2:35" x14ac:dyDescent="0.2">
      <c r="B29" s="52"/>
      <c r="C29" s="52"/>
      <c r="D29" s="52" t="s">
        <v>165</v>
      </c>
      <c r="E29" s="126">
        <v>26.147000000000002</v>
      </c>
      <c r="F29" s="126">
        <v>31.384999999999998</v>
      </c>
      <c r="G29" s="126">
        <v>20.535</v>
      </c>
      <c r="H29" s="59"/>
      <c r="I29" s="52" t="s">
        <v>42</v>
      </c>
      <c r="J29" s="52" t="s">
        <v>166</v>
      </c>
      <c r="K29" s="52" t="s">
        <v>98</v>
      </c>
      <c r="L29" s="126">
        <v>22.992000000000001</v>
      </c>
      <c r="M29" s="126">
        <v>25.654</v>
      </c>
      <c r="N29" s="126"/>
      <c r="U29" s="52"/>
      <c r="V29" s="52"/>
      <c r="W29" s="54">
        <v>14</v>
      </c>
      <c r="X29" s="96">
        <v>15.365</v>
      </c>
      <c r="Y29" s="96">
        <v>19</v>
      </c>
      <c r="Z29" s="96">
        <v>19</v>
      </c>
      <c r="AA29" s="96">
        <v>19</v>
      </c>
      <c r="AB29" s="59"/>
      <c r="AC29" s="52" t="s">
        <v>42</v>
      </c>
      <c r="AD29" s="52" t="s">
        <v>166</v>
      </c>
      <c r="AE29" s="52" t="s">
        <v>98</v>
      </c>
      <c r="AF29" s="96">
        <v>25.71</v>
      </c>
      <c r="AG29" s="96">
        <v>25.71</v>
      </c>
      <c r="AH29" s="99"/>
      <c r="AI29" s="99"/>
    </row>
    <row r="30" spans="2:35" x14ac:dyDescent="0.2">
      <c r="D30" s="50">
        <v>14</v>
      </c>
      <c r="E30" s="136">
        <v>16.617000000000001</v>
      </c>
      <c r="F30" s="136">
        <v>21.71</v>
      </c>
      <c r="G30" s="136">
        <v>19.21</v>
      </c>
      <c r="H30" s="49"/>
      <c r="J30" t="s">
        <v>169</v>
      </c>
      <c r="K30" t="s">
        <v>170</v>
      </c>
      <c r="L30" s="136">
        <v>21.454000000000001</v>
      </c>
      <c r="M30" s="136">
        <v>24.429000000000002</v>
      </c>
      <c r="N30" s="136"/>
      <c r="W30" t="s">
        <v>172</v>
      </c>
      <c r="X30" s="95">
        <v>13.827999999999999</v>
      </c>
      <c r="Y30" s="95">
        <v>17.484999999999999</v>
      </c>
      <c r="Z30" s="46"/>
      <c r="AA30" s="46"/>
      <c r="AB30" s="49"/>
      <c r="AD30" t="s">
        <v>169</v>
      </c>
      <c r="AE30" t="s">
        <v>170</v>
      </c>
      <c r="AF30" s="95">
        <v>24.023</v>
      </c>
      <c r="AG30" s="95">
        <v>24.71</v>
      </c>
      <c r="AH30" s="46"/>
      <c r="AI30" s="46"/>
    </row>
    <row r="31" spans="2:35" x14ac:dyDescent="0.2">
      <c r="B31" s="52"/>
      <c r="C31" s="52"/>
      <c r="D31" s="52" t="s">
        <v>172</v>
      </c>
      <c r="E31" s="126">
        <v>10.641</v>
      </c>
      <c r="F31" s="126">
        <v>15.699</v>
      </c>
      <c r="G31" s="126"/>
      <c r="H31" s="59"/>
      <c r="I31" s="52"/>
      <c r="J31" s="52"/>
      <c r="K31" s="52" t="s">
        <v>80</v>
      </c>
      <c r="L31" s="126">
        <v>20.324999999999999</v>
      </c>
      <c r="M31" s="126">
        <v>22.428999999999998</v>
      </c>
      <c r="N31" s="126"/>
      <c r="U31" s="52"/>
      <c r="V31" s="52"/>
      <c r="W31" s="54">
        <v>28</v>
      </c>
      <c r="X31" s="99">
        <v>20</v>
      </c>
      <c r="Y31" s="99">
        <v>20</v>
      </c>
      <c r="Z31" s="96">
        <v>17.484999999999999</v>
      </c>
      <c r="AA31" s="96">
        <v>17.677</v>
      </c>
      <c r="AB31" s="59"/>
      <c r="AC31" s="52"/>
      <c r="AD31" s="52"/>
      <c r="AE31" s="52" t="s">
        <v>80</v>
      </c>
      <c r="AF31" s="96">
        <v>22.484999999999999</v>
      </c>
      <c r="AG31" s="96">
        <v>22.484999999999999</v>
      </c>
      <c r="AH31" s="99"/>
      <c r="AI31" s="99"/>
    </row>
    <row r="32" spans="2:35" x14ac:dyDescent="0.2">
      <c r="D32" s="50">
        <v>28</v>
      </c>
      <c r="E32" s="136" t="s">
        <v>69</v>
      </c>
      <c r="F32" s="136" t="s">
        <v>69</v>
      </c>
      <c r="G32" s="136">
        <v>14.21</v>
      </c>
      <c r="H32" s="49"/>
      <c r="K32" t="s">
        <v>174</v>
      </c>
      <c r="L32" s="136">
        <v>20.324999999999999</v>
      </c>
      <c r="M32" s="136">
        <v>22.428999999999998</v>
      </c>
      <c r="N32" s="136"/>
      <c r="W32" s="56" t="s">
        <v>177</v>
      </c>
      <c r="X32" s="95">
        <v>17.704000000000001</v>
      </c>
      <c r="Y32" s="95">
        <v>22.37</v>
      </c>
      <c r="Z32" s="46"/>
      <c r="AA32" s="46"/>
      <c r="AB32" s="49"/>
      <c r="AE32" t="s">
        <v>174</v>
      </c>
      <c r="AF32" s="95">
        <v>22.484999999999999</v>
      </c>
      <c r="AG32" s="95">
        <v>22.484999999999999</v>
      </c>
      <c r="AH32" s="46"/>
      <c r="AI32" s="46"/>
    </row>
    <row r="33" spans="2:35" x14ac:dyDescent="0.2">
      <c r="B33" s="52"/>
      <c r="C33" s="52"/>
      <c r="D33" s="52" t="s">
        <v>177</v>
      </c>
      <c r="E33" s="126">
        <v>17.323999999999998</v>
      </c>
      <c r="F33" s="126">
        <v>23.972000000000001</v>
      </c>
      <c r="G33" s="589"/>
      <c r="H33" s="58"/>
      <c r="I33" s="52"/>
      <c r="J33" s="52"/>
      <c r="K33" s="131" t="s">
        <v>324</v>
      </c>
      <c r="L33" s="126">
        <v>13.569000000000001</v>
      </c>
      <c r="M33" s="126">
        <v>15.709999999999999</v>
      </c>
      <c r="N33" s="126"/>
      <c r="U33" s="52" t="s">
        <v>34</v>
      </c>
      <c r="V33" s="52" t="s">
        <v>181</v>
      </c>
      <c r="W33" s="52" t="s">
        <v>182</v>
      </c>
      <c r="X33" s="96">
        <v>32.290999999999997</v>
      </c>
      <c r="Y33" s="96">
        <v>34.933999999999997</v>
      </c>
      <c r="Z33" s="99"/>
      <c r="AA33" s="99"/>
      <c r="AB33" s="58"/>
      <c r="AC33" s="52"/>
      <c r="AD33" s="52"/>
      <c r="AE33" s="131" t="s">
        <v>324</v>
      </c>
      <c r="AF33" s="96">
        <v>15.448</v>
      </c>
      <c r="AG33" s="96">
        <v>15.5</v>
      </c>
      <c r="AH33" s="99"/>
      <c r="AI33" s="99"/>
    </row>
    <row r="34" spans="2:35" x14ac:dyDescent="0.2">
      <c r="B34" t="s">
        <v>34</v>
      </c>
      <c r="C34" t="s">
        <v>181</v>
      </c>
      <c r="D34" t="s">
        <v>182</v>
      </c>
      <c r="E34" s="136">
        <v>36.153999999999996</v>
      </c>
      <c r="F34" s="136">
        <v>39.855999999999995</v>
      </c>
      <c r="G34" s="136"/>
      <c r="H34" s="49"/>
      <c r="I34" t="s">
        <v>43</v>
      </c>
      <c r="J34" t="s">
        <v>183</v>
      </c>
      <c r="K34" t="s">
        <v>98</v>
      </c>
      <c r="L34" s="136">
        <v>31.206999999999997</v>
      </c>
      <c r="M34" s="136">
        <v>38.33</v>
      </c>
      <c r="N34" s="136"/>
      <c r="V34" t="s">
        <v>188</v>
      </c>
      <c r="W34" t="s">
        <v>189</v>
      </c>
      <c r="X34" s="95">
        <v>31.196999999999999</v>
      </c>
      <c r="Y34" s="95">
        <v>36.898000000000003</v>
      </c>
      <c r="Z34" s="46"/>
      <c r="AA34" s="46"/>
      <c r="AB34" s="49"/>
      <c r="AC34" t="s">
        <v>43</v>
      </c>
      <c r="AD34" t="s">
        <v>183</v>
      </c>
      <c r="AE34" t="s">
        <v>98</v>
      </c>
      <c r="AF34" s="95">
        <v>29.416</v>
      </c>
      <c r="AG34" s="95">
        <v>33.856000000000002</v>
      </c>
      <c r="AH34" s="46"/>
      <c r="AI34" s="46"/>
    </row>
    <row r="35" spans="2:35" x14ac:dyDescent="0.2">
      <c r="B35" s="52"/>
      <c r="C35" s="52" t="s">
        <v>188</v>
      </c>
      <c r="D35" s="52" t="s">
        <v>189</v>
      </c>
      <c r="E35" s="126">
        <v>32.210999999999999</v>
      </c>
      <c r="F35" s="126">
        <v>40.771999999999998</v>
      </c>
      <c r="G35" s="589"/>
      <c r="H35" s="58"/>
      <c r="I35" s="52"/>
      <c r="J35" s="52" t="s">
        <v>190</v>
      </c>
      <c r="K35" s="52" t="s">
        <v>128</v>
      </c>
      <c r="L35" s="126">
        <v>25.366999999999997</v>
      </c>
      <c r="M35" s="126">
        <v>32.787999999999997</v>
      </c>
      <c r="N35" s="126">
        <v>32.840000000000003</v>
      </c>
      <c r="U35" s="52"/>
      <c r="V35" s="52"/>
      <c r="W35" s="52" t="s">
        <v>192</v>
      </c>
      <c r="X35" s="96">
        <v>28.693000000000001</v>
      </c>
      <c r="Y35" s="96">
        <v>31.196999999999999</v>
      </c>
      <c r="Z35" s="99"/>
      <c r="AA35" s="99"/>
      <c r="AB35" s="58"/>
      <c r="AC35" s="52"/>
      <c r="AD35" s="52" t="s">
        <v>190</v>
      </c>
      <c r="AE35" s="52" t="s">
        <v>128</v>
      </c>
      <c r="AF35" s="96">
        <v>26.646999999999998</v>
      </c>
      <c r="AG35" s="96">
        <v>27.86</v>
      </c>
      <c r="AH35" s="96">
        <v>31.148</v>
      </c>
      <c r="AI35" s="96">
        <v>31.148</v>
      </c>
    </row>
    <row r="36" spans="2:35" x14ac:dyDescent="0.2">
      <c r="D36" t="s">
        <v>192</v>
      </c>
      <c r="E36" s="136">
        <v>29.673999999999999</v>
      </c>
      <c r="F36" s="136">
        <v>33.121999999999993</v>
      </c>
      <c r="G36" s="136"/>
      <c r="H36" s="49"/>
      <c r="J36" t="s">
        <v>193</v>
      </c>
      <c r="K36" t="s">
        <v>194</v>
      </c>
      <c r="L36" s="136">
        <v>27.350999999999999</v>
      </c>
      <c r="M36" s="136">
        <v>34.109000000000002</v>
      </c>
      <c r="N36" s="136">
        <v>34.109000000000002</v>
      </c>
      <c r="W36" t="s">
        <v>198</v>
      </c>
      <c r="X36" s="95">
        <v>18.808</v>
      </c>
      <c r="Y36" s="95">
        <v>21.39</v>
      </c>
      <c r="Z36" s="46"/>
      <c r="AA36" s="46"/>
      <c r="AB36" s="49"/>
      <c r="AD36" t="s">
        <v>193</v>
      </c>
      <c r="AE36" t="s">
        <v>194</v>
      </c>
      <c r="AF36" s="95">
        <v>29.718</v>
      </c>
      <c r="AG36" s="95">
        <v>30.507000000000001</v>
      </c>
      <c r="AH36" s="95">
        <v>30.507000000000001</v>
      </c>
      <c r="AI36" s="95">
        <v>21.425999999999998</v>
      </c>
    </row>
    <row r="37" spans="2:35" x14ac:dyDescent="0.2">
      <c r="B37" s="52"/>
      <c r="C37" s="52"/>
      <c r="D37" s="52" t="s">
        <v>198</v>
      </c>
      <c r="E37" s="126">
        <v>20.404</v>
      </c>
      <c r="F37" s="126">
        <v>22.380000000000003</v>
      </c>
      <c r="G37" s="589"/>
      <c r="H37" s="58"/>
      <c r="I37" s="52"/>
      <c r="J37" s="52" t="s">
        <v>199</v>
      </c>
      <c r="K37" s="52" t="s">
        <v>200</v>
      </c>
      <c r="L37" s="126">
        <v>23.555</v>
      </c>
      <c r="M37" s="126">
        <v>30.71</v>
      </c>
      <c r="N37" s="126">
        <v>30.71</v>
      </c>
      <c r="U37" s="52" t="s">
        <v>35</v>
      </c>
      <c r="V37" s="52" t="s">
        <v>203</v>
      </c>
      <c r="W37" s="52" t="s">
        <v>182</v>
      </c>
      <c r="X37" s="96">
        <v>22.763999999999999</v>
      </c>
      <c r="Y37" s="96">
        <v>29.216000000000001</v>
      </c>
      <c r="Z37" s="99"/>
      <c r="AA37" s="99"/>
      <c r="AB37" s="58"/>
      <c r="AC37" s="52"/>
      <c r="AD37" s="52" t="s">
        <v>199</v>
      </c>
      <c r="AE37" s="52" t="s">
        <v>200</v>
      </c>
      <c r="AF37" s="96">
        <v>23.048999999999999</v>
      </c>
      <c r="AG37" s="96">
        <v>26.864999999999998</v>
      </c>
      <c r="AH37" s="96">
        <v>26.9</v>
      </c>
      <c r="AI37" s="96">
        <v>26.9</v>
      </c>
    </row>
    <row r="38" spans="2:35" x14ac:dyDescent="0.2">
      <c r="B38" t="s">
        <v>35</v>
      </c>
      <c r="C38" t="s">
        <v>203</v>
      </c>
      <c r="D38" t="s">
        <v>182</v>
      </c>
      <c r="E38" s="136">
        <v>25.805</v>
      </c>
      <c r="F38" s="136">
        <v>30.152000000000001</v>
      </c>
      <c r="G38" s="136"/>
      <c r="H38" s="49"/>
      <c r="J38" t="s">
        <v>204</v>
      </c>
      <c r="K38" t="s">
        <v>205</v>
      </c>
      <c r="L38" s="136">
        <v>26.100999999999999</v>
      </c>
      <c r="M38" s="136">
        <v>32.446999999999996</v>
      </c>
      <c r="N38" s="136"/>
      <c r="V38" t="s">
        <v>206</v>
      </c>
      <c r="W38" t="s">
        <v>189</v>
      </c>
      <c r="X38" s="95">
        <v>18.420999999999999</v>
      </c>
      <c r="Y38" s="95">
        <v>23.411999999999999</v>
      </c>
      <c r="Z38" s="46"/>
      <c r="AA38" s="46"/>
      <c r="AB38" s="49"/>
      <c r="AD38" t="s">
        <v>204</v>
      </c>
      <c r="AE38" t="s">
        <v>205</v>
      </c>
      <c r="AF38" s="95">
        <v>26.582000000000001</v>
      </c>
      <c r="AG38" s="95">
        <v>30.844999999999999</v>
      </c>
      <c r="AH38" s="46"/>
      <c r="AI38" s="46"/>
    </row>
    <row r="39" spans="2:35" x14ac:dyDescent="0.2">
      <c r="B39" s="52"/>
      <c r="C39" s="52" t="s">
        <v>206</v>
      </c>
      <c r="D39" s="52" t="s">
        <v>189</v>
      </c>
      <c r="E39" s="126">
        <v>21.942999999999998</v>
      </c>
      <c r="F39" s="126">
        <v>26.226999999999997</v>
      </c>
      <c r="G39" s="589"/>
      <c r="H39" s="58"/>
      <c r="I39" s="52"/>
      <c r="J39" s="52"/>
      <c r="K39" s="52" t="s">
        <v>80</v>
      </c>
      <c r="L39" s="126">
        <v>27.466999999999999</v>
      </c>
      <c r="M39" s="126">
        <v>32.68</v>
      </c>
      <c r="N39" s="126">
        <v>32.68</v>
      </c>
      <c r="U39" s="52"/>
      <c r="V39" s="52" t="s">
        <v>208</v>
      </c>
      <c r="W39" s="52" t="s">
        <v>209</v>
      </c>
      <c r="X39" s="96">
        <v>21.771999999999998</v>
      </c>
      <c r="Y39" s="96">
        <v>26.802</v>
      </c>
      <c r="Z39" s="99"/>
      <c r="AA39" s="99"/>
      <c r="AB39" s="58"/>
      <c r="AC39" s="52"/>
      <c r="AD39" s="52"/>
      <c r="AE39" s="52" t="s">
        <v>80</v>
      </c>
      <c r="AF39" s="96">
        <v>28.417000000000002</v>
      </c>
      <c r="AG39" s="96">
        <v>28.417000000000002</v>
      </c>
      <c r="AH39" s="96">
        <v>28.417000000000002</v>
      </c>
      <c r="AI39" s="96">
        <v>26.646999999999998</v>
      </c>
    </row>
    <row r="40" spans="2:35" x14ac:dyDescent="0.2">
      <c r="C40" t="s">
        <v>208</v>
      </c>
      <c r="D40" t="s">
        <v>209</v>
      </c>
      <c r="E40" s="136">
        <v>29.920999999999999</v>
      </c>
      <c r="F40" s="136">
        <v>34.353999999999999</v>
      </c>
      <c r="G40" s="136"/>
      <c r="H40" s="49"/>
      <c r="K40" t="s">
        <v>150</v>
      </c>
      <c r="L40" s="136">
        <v>19.975999999999999</v>
      </c>
      <c r="M40" s="136">
        <v>25.138000000000002</v>
      </c>
      <c r="N40" s="136">
        <v>25.19</v>
      </c>
      <c r="V40" t="s">
        <v>212</v>
      </c>
      <c r="W40" s="56" t="s">
        <v>213</v>
      </c>
      <c r="X40" s="95">
        <v>16.835000000000001</v>
      </c>
      <c r="Y40" s="95">
        <v>22.940999999999999</v>
      </c>
      <c r="Z40" s="46"/>
      <c r="AA40" s="46"/>
      <c r="AB40" s="49"/>
      <c r="AE40" t="s">
        <v>150</v>
      </c>
      <c r="AF40" s="95">
        <v>23.498000000000001</v>
      </c>
      <c r="AG40" s="95">
        <v>23.498000000000001</v>
      </c>
      <c r="AH40" s="95">
        <v>23.498000000000001</v>
      </c>
      <c r="AI40" s="95">
        <v>25.960999999999999</v>
      </c>
    </row>
    <row r="41" spans="2:35" x14ac:dyDescent="0.2">
      <c r="B41" s="52"/>
      <c r="C41" s="52" t="s">
        <v>212</v>
      </c>
      <c r="D41" s="52" t="s">
        <v>213</v>
      </c>
      <c r="E41" s="126">
        <v>22.949000000000002</v>
      </c>
      <c r="F41" s="126">
        <v>26.414000000000001</v>
      </c>
      <c r="G41" s="589"/>
      <c r="H41" s="58"/>
      <c r="I41" s="52"/>
      <c r="J41" s="52"/>
      <c r="K41" s="52" t="s">
        <v>214</v>
      </c>
      <c r="L41" s="126">
        <v>23.364999999999998</v>
      </c>
      <c r="M41" s="126">
        <v>28.554000000000002</v>
      </c>
      <c r="N41" s="126">
        <v>28.554000000000002</v>
      </c>
      <c r="U41" s="52"/>
      <c r="V41" s="52" t="s">
        <v>218</v>
      </c>
      <c r="W41" s="52" t="s">
        <v>219</v>
      </c>
      <c r="X41" s="96">
        <v>27.184999999999999</v>
      </c>
      <c r="Y41" s="96">
        <v>22.628</v>
      </c>
      <c r="Z41" s="99"/>
      <c r="AA41" s="99"/>
      <c r="AB41" s="58"/>
      <c r="AC41" s="52"/>
      <c r="AD41" s="52"/>
      <c r="AE41" s="52" t="s">
        <v>214</v>
      </c>
      <c r="AF41" s="96">
        <v>24.949000000000002</v>
      </c>
      <c r="AG41" s="96">
        <v>24.952000000000002</v>
      </c>
      <c r="AH41" s="96">
        <v>24.952000000000002</v>
      </c>
      <c r="AI41" s="96">
        <v>23.048999999999999</v>
      </c>
    </row>
    <row r="42" spans="2:35" x14ac:dyDescent="0.2">
      <c r="C42" t="s">
        <v>218</v>
      </c>
      <c r="D42" t="s">
        <v>219</v>
      </c>
      <c r="E42" s="136">
        <v>30.862000000000002</v>
      </c>
      <c r="F42" s="136">
        <v>35.395000000000003</v>
      </c>
      <c r="G42" s="136"/>
      <c r="H42" s="49"/>
      <c r="K42" t="s">
        <v>123</v>
      </c>
      <c r="L42" s="136">
        <v>17.923999999999999</v>
      </c>
      <c r="M42" s="136">
        <v>23.06</v>
      </c>
      <c r="N42" s="136">
        <v>23.06</v>
      </c>
      <c r="V42" t="s">
        <v>221</v>
      </c>
      <c r="W42" t="s">
        <v>222</v>
      </c>
      <c r="X42" s="95">
        <v>22.247</v>
      </c>
      <c r="Y42" s="46">
        <v>30.288</v>
      </c>
      <c r="Z42" s="46"/>
      <c r="AA42" s="46"/>
      <c r="AB42" s="49"/>
      <c r="AE42" t="s">
        <v>123</v>
      </c>
      <c r="AF42" s="95">
        <v>18.393000000000001</v>
      </c>
      <c r="AG42" s="95">
        <v>21.75</v>
      </c>
      <c r="AH42" s="95">
        <v>21.75</v>
      </c>
      <c r="AI42" s="95">
        <v>21.75</v>
      </c>
    </row>
    <row r="43" spans="2:35" x14ac:dyDescent="0.2">
      <c r="B43" s="52"/>
      <c r="C43" s="52" t="s">
        <v>221</v>
      </c>
      <c r="D43" s="52" t="s">
        <v>222</v>
      </c>
      <c r="E43" s="126">
        <v>28.936</v>
      </c>
      <c r="F43" s="126">
        <v>33.028999999999996</v>
      </c>
      <c r="G43" s="589"/>
      <c r="H43" s="59"/>
      <c r="I43" s="52"/>
      <c r="J43" s="52"/>
      <c r="K43" s="52" t="s">
        <v>223</v>
      </c>
      <c r="L43" s="126">
        <v>22.978999999999999</v>
      </c>
      <c r="M43" s="126">
        <v>28.222000000000001</v>
      </c>
      <c r="N43" s="126">
        <v>24.222000000000001</v>
      </c>
      <c r="U43" s="52"/>
      <c r="V43" s="52"/>
      <c r="W43" s="55" t="s">
        <v>227</v>
      </c>
      <c r="X43" s="96">
        <v>17.327999999999999</v>
      </c>
      <c r="Y43" s="96">
        <v>21.962</v>
      </c>
      <c r="Z43" s="96">
        <v>23.591999999999999</v>
      </c>
      <c r="AA43" s="96">
        <v>23.591999999999999</v>
      </c>
      <c r="AB43" s="59"/>
      <c r="AC43" s="52"/>
      <c r="AD43" s="52"/>
      <c r="AE43" s="52" t="s">
        <v>223</v>
      </c>
      <c r="AF43" s="96">
        <v>23.067</v>
      </c>
      <c r="AG43" s="96">
        <v>26.62</v>
      </c>
      <c r="AH43" s="96">
        <v>26.62</v>
      </c>
      <c r="AI43" s="96">
        <v>26.62</v>
      </c>
    </row>
    <row r="44" spans="2:35" x14ac:dyDescent="0.2">
      <c r="D44" t="s">
        <v>227</v>
      </c>
      <c r="E44" s="136">
        <v>20.138000000000002</v>
      </c>
      <c r="F44" s="136">
        <v>22.502000000000002</v>
      </c>
      <c r="G44" s="136">
        <v>22.502000000000002</v>
      </c>
      <c r="H44" s="60"/>
      <c r="I44" t="s">
        <v>44</v>
      </c>
      <c r="J44" t="s">
        <v>228</v>
      </c>
      <c r="K44" t="s">
        <v>141</v>
      </c>
      <c r="L44" s="136">
        <v>30.227</v>
      </c>
      <c r="M44" s="136">
        <v>32.222999999999999</v>
      </c>
      <c r="N44" s="136"/>
      <c r="W44" t="s">
        <v>231</v>
      </c>
      <c r="X44" s="95">
        <v>11.832000000000001</v>
      </c>
      <c r="Y44" s="46">
        <v>15.291</v>
      </c>
      <c r="Z44" s="95">
        <v>15.993</v>
      </c>
      <c r="AA44" s="95">
        <v>15.993</v>
      </c>
      <c r="AB44" s="60"/>
      <c r="AC44" t="s">
        <v>44</v>
      </c>
      <c r="AD44" t="s">
        <v>228</v>
      </c>
      <c r="AE44" t="s">
        <v>141</v>
      </c>
      <c r="AF44" s="95">
        <v>25.988</v>
      </c>
      <c r="AG44" s="95">
        <v>28.905000000000001</v>
      </c>
      <c r="AH44" s="46"/>
      <c r="AI44" s="46"/>
    </row>
    <row r="45" spans="2:35" x14ac:dyDescent="0.2">
      <c r="B45" s="52"/>
      <c r="C45" s="52"/>
      <c r="D45" s="52" t="s">
        <v>231</v>
      </c>
      <c r="E45" s="126">
        <v>16.369</v>
      </c>
      <c r="F45" s="126">
        <v>18.763999999999999</v>
      </c>
      <c r="G45" s="126">
        <v>18.763999999999999</v>
      </c>
      <c r="H45" s="59"/>
      <c r="I45" s="290"/>
      <c r="J45" s="290" t="s">
        <v>232</v>
      </c>
      <c r="K45" s="290" t="s">
        <v>233</v>
      </c>
      <c r="L45" s="591">
        <v>30.172000000000001</v>
      </c>
      <c r="M45" s="591">
        <v>35.948999999999998</v>
      </c>
      <c r="N45" s="592"/>
      <c r="W45" t="s">
        <v>113</v>
      </c>
      <c r="X45" s="95">
        <v>22.628</v>
      </c>
      <c r="Y45" s="95">
        <v>28.088999999999999</v>
      </c>
      <c r="Z45" s="46"/>
      <c r="AA45" s="46"/>
      <c r="AB45" s="59"/>
      <c r="AC45" s="52"/>
      <c r="AD45" s="52" t="s">
        <v>228</v>
      </c>
      <c r="AE45" s="52" t="s">
        <v>367</v>
      </c>
      <c r="AF45" s="96">
        <v>19.042000000000002</v>
      </c>
      <c r="AG45" s="96">
        <v>22.120999999999999</v>
      </c>
      <c r="AH45" s="99"/>
      <c r="AI45" s="99"/>
    </row>
    <row r="46" spans="2:35" x14ac:dyDescent="0.2">
      <c r="D46" t="s">
        <v>113</v>
      </c>
      <c r="E46" s="136">
        <v>24.692</v>
      </c>
      <c r="F46" s="136">
        <v>27.744999999999997</v>
      </c>
      <c r="G46" s="136"/>
      <c r="H46" s="49"/>
      <c r="J46" t="s">
        <v>235</v>
      </c>
      <c r="K46" t="s">
        <v>211</v>
      </c>
      <c r="L46" s="136">
        <v>25.911999999999999</v>
      </c>
      <c r="M46" s="136">
        <v>31.349</v>
      </c>
      <c r="N46" s="123"/>
      <c r="U46" s="52"/>
      <c r="V46" s="52"/>
      <c r="W46" s="52" t="s">
        <v>238</v>
      </c>
      <c r="X46" s="96">
        <v>17.210999999999999</v>
      </c>
      <c r="Y46" s="96">
        <v>28.088999999999999</v>
      </c>
      <c r="Z46" s="99"/>
      <c r="AA46" s="99"/>
      <c r="AB46" s="49"/>
      <c r="AD46" t="s">
        <v>232</v>
      </c>
      <c r="AE46" t="s">
        <v>233</v>
      </c>
      <c r="AF46" s="95">
        <v>33.917000000000002</v>
      </c>
      <c r="AG46" s="95">
        <v>21.123999999999999</v>
      </c>
      <c r="AH46" s="46"/>
      <c r="AI46" s="46"/>
    </row>
    <row r="47" spans="2:35" x14ac:dyDescent="0.2">
      <c r="B47" s="52"/>
      <c r="C47" s="52"/>
      <c r="D47" s="52" t="s">
        <v>238</v>
      </c>
      <c r="E47" s="126">
        <v>22.37</v>
      </c>
      <c r="F47" s="126">
        <v>25.378999999999998</v>
      </c>
      <c r="G47" s="589"/>
      <c r="H47" s="58"/>
      <c r="I47" s="290"/>
      <c r="J47" s="290" t="s">
        <v>239</v>
      </c>
      <c r="K47" s="290" t="s">
        <v>226</v>
      </c>
      <c r="L47" s="591">
        <v>18.396999999999998</v>
      </c>
      <c r="M47" s="591">
        <v>22.193000000000001</v>
      </c>
      <c r="N47" s="592"/>
      <c r="W47" s="50">
        <v>35</v>
      </c>
      <c r="X47" s="95">
        <v>19.538</v>
      </c>
      <c r="Y47" s="95">
        <v>23.004999999999999</v>
      </c>
      <c r="Z47" s="46"/>
      <c r="AA47" s="46"/>
      <c r="AB47" s="58"/>
      <c r="AC47" s="52"/>
      <c r="AD47" s="52" t="s">
        <v>235</v>
      </c>
      <c r="AE47" s="52" t="s">
        <v>211</v>
      </c>
      <c r="AF47" s="96">
        <v>23.920999999999999</v>
      </c>
      <c r="AG47" s="96">
        <v>25.597999999999999</v>
      </c>
      <c r="AH47" s="99"/>
      <c r="AI47" s="99"/>
    </row>
    <row r="48" spans="2:35" x14ac:dyDescent="0.2">
      <c r="D48" s="50">
        <v>35</v>
      </c>
      <c r="E48" s="136">
        <v>22.038000000000004</v>
      </c>
      <c r="F48" s="136">
        <v>24.522000000000002</v>
      </c>
      <c r="G48" s="136"/>
      <c r="H48" s="49"/>
      <c r="J48" t="s">
        <v>243</v>
      </c>
      <c r="K48" t="s">
        <v>205</v>
      </c>
      <c r="L48" s="136">
        <v>17.683999999999997</v>
      </c>
      <c r="M48" s="136">
        <v>21.917000000000002</v>
      </c>
      <c r="N48" s="123"/>
      <c r="U48" s="52" t="s">
        <v>36</v>
      </c>
      <c r="V48" s="52" t="s">
        <v>246</v>
      </c>
      <c r="W48" s="52" t="s">
        <v>119</v>
      </c>
      <c r="X48" s="96">
        <v>24.907</v>
      </c>
      <c r="Y48" s="96">
        <v>25.042999999999999</v>
      </c>
      <c r="Z48" s="99"/>
      <c r="AA48" s="99"/>
      <c r="AB48" s="49"/>
      <c r="AD48" t="s">
        <v>239</v>
      </c>
      <c r="AE48" t="s">
        <v>226</v>
      </c>
      <c r="AF48" s="95">
        <v>20.648</v>
      </c>
      <c r="AG48" s="95">
        <v>24.108000000000001</v>
      </c>
      <c r="AH48" s="46"/>
      <c r="AI48" s="46"/>
    </row>
    <row r="49" spans="2:35" x14ac:dyDescent="0.2">
      <c r="B49" s="52" t="s">
        <v>36</v>
      </c>
      <c r="C49" s="52" t="s">
        <v>246</v>
      </c>
      <c r="D49" s="52" t="s">
        <v>119</v>
      </c>
      <c r="E49" s="126">
        <v>16.373999999999999</v>
      </c>
      <c r="F49" s="126">
        <v>18.574999999999999</v>
      </c>
      <c r="G49" s="589"/>
      <c r="H49" s="58"/>
      <c r="I49" s="290"/>
      <c r="J49" s="290" t="s">
        <v>228</v>
      </c>
      <c r="K49" s="290" t="s">
        <v>571</v>
      </c>
      <c r="L49" s="591">
        <v>21.302000000000003</v>
      </c>
      <c r="M49" s="591">
        <v>24.404</v>
      </c>
      <c r="N49" s="592"/>
      <c r="V49" t="s">
        <v>250</v>
      </c>
      <c r="W49" t="s">
        <v>251</v>
      </c>
      <c r="X49" s="95">
        <v>21.805</v>
      </c>
      <c r="Y49" s="95">
        <v>21.904</v>
      </c>
      <c r="Z49" s="46"/>
      <c r="AA49" s="46"/>
      <c r="AB49" s="58"/>
      <c r="AC49" s="52"/>
      <c r="AD49" s="52" t="s">
        <v>243</v>
      </c>
      <c r="AE49" s="52" t="s">
        <v>205</v>
      </c>
      <c r="AF49" s="96">
        <v>15.439</v>
      </c>
      <c r="AG49" s="96">
        <v>19.440999999999999</v>
      </c>
      <c r="AH49" s="99"/>
      <c r="AI49" s="99"/>
    </row>
    <row r="50" spans="2:35" x14ac:dyDescent="0.2">
      <c r="C50" t="s">
        <v>250</v>
      </c>
      <c r="D50" t="s">
        <v>251</v>
      </c>
      <c r="E50" s="136">
        <v>19.021000000000001</v>
      </c>
      <c r="F50" s="136">
        <v>19.73</v>
      </c>
      <c r="G50" s="136"/>
      <c r="H50" s="49"/>
      <c r="K50" t="s">
        <v>247</v>
      </c>
      <c r="L50" s="136">
        <v>24.232999999999997</v>
      </c>
      <c r="M50" s="136">
        <v>27.288</v>
      </c>
      <c r="N50" s="123"/>
      <c r="U50" s="52"/>
      <c r="V50" s="52" t="s">
        <v>254</v>
      </c>
      <c r="W50" s="52" t="s">
        <v>77</v>
      </c>
      <c r="X50" s="96">
        <v>16.466999999999999</v>
      </c>
      <c r="Y50" s="96">
        <v>16.593</v>
      </c>
      <c r="Z50" s="99"/>
      <c r="AA50" s="99"/>
      <c r="AB50" s="49"/>
      <c r="AE50" t="s">
        <v>247</v>
      </c>
      <c r="AF50" s="95">
        <v>24.140999999999998</v>
      </c>
      <c r="AG50" s="95">
        <v>23.920999999999999</v>
      </c>
      <c r="AH50" s="46"/>
      <c r="AI50" s="46"/>
    </row>
    <row r="51" spans="2:35" x14ac:dyDescent="0.2">
      <c r="B51" s="52"/>
      <c r="C51" s="52" t="s">
        <v>254</v>
      </c>
      <c r="D51" s="52" t="s">
        <v>77</v>
      </c>
      <c r="E51" s="126">
        <v>11.849</v>
      </c>
      <c r="F51" s="126">
        <v>13.434999999999999</v>
      </c>
      <c r="G51" s="589"/>
      <c r="H51" s="58"/>
      <c r="I51" s="290"/>
      <c r="J51" s="290"/>
      <c r="K51" s="290" t="s">
        <v>234</v>
      </c>
      <c r="L51" s="591">
        <v>22.445999999999998</v>
      </c>
      <c r="M51" s="591">
        <v>26.873999999999999</v>
      </c>
      <c r="N51" s="592"/>
      <c r="V51" t="s">
        <v>257</v>
      </c>
      <c r="W51" t="s">
        <v>258</v>
      </c>
      <c r="X51" s="95">
        <v>28.076000000000001</v>
      </c>
      <c r="Y51" s="95">
        <v>28.302</v>
      </c>
      <c r="Z51" s="46"/>
      <c r="AA51" s="46"/>
      <c r="AB51" s="58"/>
      <c r="AC51" s="52"/>
      <c r="AD51" s="52"/>
      <c r="AE51" s="52" t="s">
        <v>234</v>
      </c>
      <c r="AF51" s="96">
        <v>22.617000000000001</v>
      </c>
      <c r="AG51" s="96">
        <v>20.648</v>
      </c>
      <c r="AH51" s="99"/>
      <c r="AI51" s="99"/>
    </row>
    <row r="52" spans="2:35" x14ac:dyDescent="0.2">
      <c r="C52" t="s">
        <v>257</v>
      </c>
      <c r="D52" t="s">
        <v>258</v>
      </c>
      <c r="E52" s="136">
        <v>15.834</v>
      </c>
      <c r="F52" s="136">
        <v>17.5</v>
      </c>
      <c r="G52" s="136"/>
      <c r="H52" s="49"/>
      <c r="K52" t="s">
        <v>242</v>
      </c>
      <c r="L52" s="136">
        <v>17.524000000000001</v>
      </c>
      <c r="M52" s="136">
        <v>21.768000000000001</v>
      </c>
      <c r="N52" s="123"/>
      <c r="U52" s="52"/>
      <c r="V52" s="52"/>
      <c r="W52" s="52" t="s">
        <v>121</v>
      </c>
      <c r="X52" s="96">
        <v>21.228000000000002</v>
      </c>
      <c r="Y52" s="96">
        <v>21.318000000000001</v>
      </c>
      <c r="Z52" s="99"/>
      <c r="AA52" s="99"/>
      <c r="AB52" s="49"/>
      <c r="AE52" t="s">
        <v>242</v>
      </c>
      <c r="AF52" s="95">
        <v>16.661000000000001</v>
      </c>
      <c r="AG52" s="95">
        <v>19.718</v>
      </c>
      <c r="AH52" s="46"/>
      <c r="AI52" s="46"/>
    </row>
    <row r="53" spans="2:35" x14ac:dyDescent="0.2">
      <c r="B53" s="52"/>
      <c r="C53" s="52"/>
      <c r="D53" s="52" t="s">
        <v>121</v>
      </c>
      <c r="E53" s="126">
        <v>78.322999999999993</v>
      </c>
      <c r="F53" s="126">
        <v>74.775000000000006</v>
      </c>
      <c r="G53" s="589"/>
      <c r="H53" s="58"/>
      <c r="I53" s="290"/>
      <c r="J53" s="290"/>
      <c r="K53" s="290">
        <v>20</v>
      </c>
      <c r="L53" s="591">
        <v>24.812999999999999</v>
      </c>
      <c r="M53" s="591">
        <v>28.077999999999999</v>
      </c>
      <c r="N53" s="592"/>
      <c r="W53" t="s">
        <v>265</v>
      </c>
      <c r="X53" s="95">
        <v>19.579999999999998</v>
      </c>
      <c r="Y53" s="95">
        <v>19.678999999999998</v>
      </c>
      <c r="Z53" s="46"/>
      <c r="AA53" s="46"/>
      <c r="AB53" s="58"/>
      <c r="AC53" s="52"/>
      <c r="AD53" s="52"/>
      <c r="AE53" s="54">
        <v>20</v>
      </c>
      <c r="AF53" s="96">
        <v>21.026</v>
      </c>
      <c r="AG53" s="96">
        <v>23.843</v>
      </c>
      <c r="AH53" s="99"/>
      <c r="AI53" s="99"/>
    </row>
    <row r="54" spans="2:35" x14ac:dyDescent="0.2">
      <c r="D54" t="s">
        <v>265</v>
      </c>
      <c r="E54" s="136">
        <v>9.85</v>
      </c>
      <c r="F54" s="136">
        <v>10.35</v>
      </c>
      <c r="G54" s="136"/>
      <c r="H54" s="49"/>
      <c r="K54" t="s">
        <v>223</v>
      </c>
      <c r="L54" s="136">
        <v>24.57</v>
      </c>
      <c r="M54" s="136">
        <v>27.980999999999998</v>
      </c>
      <c r="N54" s="123"/>
      <c r="U54" s="52"/>
      <c r="V54" s="52"/>
      <c r="W54" s="52" t="s">
        <v>102</v>
      </c>
      <c r="X54" s="96">
        <v>14.368</v>
      </c>
      <c r="Y54" s="96">
        <v>28.076000000000001</v>
      </c>
      <c r="Z54" s="99"/>
      <c r="AA54" s="99"/>
      <c r="AB54" s="49"/>
      <c r="AE54" t="s">
        <v>223</v>
      </c>
      <c r="AF54" s="95">
        <v>14.178000000000001</v>
      </c>
      <c r="AG54" s="95">
        <v>17.356999999999999</v>
      </c>
      <c r="AH54" s="46"/>
      <c r="AI54" s="46"/>
    </row>
    <row r="55" spans="2:35" x14ac:dyDescent="0.2">
      <c r="B55" s="52"/>
      <c r="C55" s="52"/>
      <c r="D55" s="52" t="s">
        <v>102</v>
      </c>
      <c r="E55" s="126">
        <v>9.85</v>
      </c>
      <c r="F55" s="126">
        <v>11.209999999999999</v>
      </c>
      <c r="G55" s="589"/>
      <c r="H55" s="58"/>
      <c r="I55" s="290" t="s">
        <v>45</v>
      </c>
      <c r="J55" s="290" t="s">
        <v>45</v>
      </c>
      <c r="K55" s="290">
        <v>1</v>
      </c>
      <c r="L55" s="591">
        <v>24.157</v>
      </c>
      <c r="M55" s="591">
        <v>28.713999999999999</v>
      </c>
      <c r="N55" s="592"/>
      <c r="W55" t="s">
        <v>270</v>
      </c>
      <c r="X55" s="95">
        <v>20.59</v>
      </c>
      <c r="Y55" s="95">
        <v>20.652000000000001</v>
      </c>
      <c r="Z55" s="46"/>
      <c r="AA55" s="46"/>
      <c r="AB55" s="58"/>
      <c r="AC55" s="52" t="s">
        <v>45</v>
      </c>
      <c r="AD55" s="52" t="s">
        <v>45</v>
      </c>
      <c r="AE55" s="54">
        <v>1</v>
      </c>
      <c r="AF55" s="96">
        <v>23.036000000000001</v>
      </c>
      <c r="AG55" s="96">
        <v>28.405000000000001</v>
      </c>
      <c r="AH55" s="99"/>
      <c r="AI55" s="99"/>
    </row>
    <row r="56" spans="2:35" x14ac:dyDescent="0.2">
      <c r="D56" t="s">
        <v>270</v>
      </c>
      <c r="E56" s="136">
        <v>11.85</v>
      </c>
      <c r="F56" s="136">
        <v>9.85</v>
      </c>
      <c r="G56" s="136"/>
      <c r="H56" s="49"/>
      <c r="I56" t="s">
        <v>46</v>
      </c>
      <c r="J56" t="s">
        <v>267</v>
      </c>
      <c r="K56" t="s">
        <v>98</v>
      </c>
      <c r="L56" s="136">
        <v>25.141999999999999</v>
      </c>
      <c r="M56" s="136">
        <v>26.494999999999997</v>
      </c>
      <c r="N56" s="123"/>
      <c r="U56" s="52" t="s">
        <v>273</v>
      </c>
      <c r="V56" s="52" t="s">
        <v>274</v>
      </c>
      <c r="W56" s="52" t="s">
        <v>275</v>
      </c>
      <c r="X56" s="96">
        <v>27.536000000000001</v>
      </c>
      <c r="Y56" s="96">
        <v>27.253</v>
      </c>
      <c r="Z56" s="99"/>
      <c r="AA56" s="99"/>
      <c r="AB56" s="49"/>
      <c r="AC56" t="s">
        <v>46</v>
      </c>
      <c r="AD56" t="s">
        <v>267</v>
      </c>
      <c r="AE56" t="s">
        <v>98</v>
      </c>
      <c r="AF56" s="95">
        <v>21.231999999999999</v>
      </c>
      <c r="AG56" s="95">
        <v>24.056000000000001</v>
      </c>
      <c r="AH56" s="46"/>
      <c r="AI56" s="46"/>
    </row>
    <row r="57" spans="2:35" x14ac:dyDescent="0.2">
      <c r="B57" s="52" t="s">
        <v>273</v>
      </c>
      <c r="C57" s="52" t="s">
        <v>274</v>
      </c>
      <c r="D57" s="52" t="s">
        <v>275</v>
      </c>
      <c r="E57" s="126">
        <v>25.045999999999999</v>
      </c>
      <c r="F57" s="126">
        <v>24.626999999999999</v>
      </c>
      <c r="G57" s="589"/>
      <c r="H57" s="58"/>
      <c r="I57" s="290"/>
      <c r="J57" s="290" t="s">
        <v>271</v>
      </c>
      <c r="K57" s="290" t="s">
        <v>170</v>
      </c>
      <c r="L57" s="591">
        <v>23.47</v>
      </c>
      <c r="M57" s="591">
        <v>27.802999999999997</v>
      </c>
      <c r="N57" s="592"/>
      <c r="W57" t="s">
        <v>165</v>
      </c>
      <c r="X57" s="95">
        <v>25.311</v>
      </c>
      <c r="Y57" s="95">
        <v>25.027999999999999</v>
      </c>
      <c r="Z57" s="46"/>
      <c r="AA57" s="46"/>
      <c r="AB57" s="58"/>
      <c r="AC57" s="52"/>
      <c r="AD57" s="52" t="s">
        <v>271</v>
      </c>
      <c r="AE57" s="52" t="s">
        <v>170</v>
      </c>
      <c r="AF57" s="96">
        <v>22.58</v>
      </c>
      <c r="AG57" s="96">
        <v>28.731000000000002</v>
      </c>
      <c r="AH57" s="99"/>
      <c r="AI57" s="99"/>
    </row>
    <row r="58" spans="2:35" x14ac:dyDescent="0.2">
      <c r="D58" t="s">
        <v>165</v>
      </c>
      <c r="E58" s="136">
        <v>23.126999999999995</v>
      </c>
      <c r="F58" s="136">
        <v>22.498999999999999</v>
      </c>
      <c r="G58" s="136"/>
      <c r="H58" s="49"/>
      <c r="K58" t="s">
        <v>80</v>
      </c>
      <c r="L58" s="136">
        <v>21.117999999999999</v>
      </c>
      <c r="M58" s="136">
        <v>22.470999999999997</v>
      </c>
      <c r="N58" s="123"/>
      <c r="U58" s="52" t="s">
        <v>37</v>
      </c>
      <c r="V58" s="52" t="s">
        <v>281</v>
      </c>
      <c r="W58" s="52" t="s">
        <v>282</v>
      </c>
      <c r="X58" s="96">
        <v>27.303000000000001</v>
      </c>
      <c r="Y58" s="96">
        <v>32.274999999999999</v>
      </c>
      <c r="Z58" s="99"/>
      <c r="AA58" s="99"/>
      <c r="AB58" s="49"/>
      <c r="AE58" t="s">
        <v>80</v>
      </c>
      <c r="AF58" s="95">
        <v>18.596</v>
      </c>
      <c r="AG58" s="95">
        <v>21.081</v>
      </c>
      <c r="AH58" s="46"/>
      <c r="AI58" s="46"/>
    </row>
    <row r="59" spans="2:35" x14ac:dyDescent="0.2">
      <c r="B59" s="52" t="s">
        <v>37</v>
      </c>
      <c r="C59" s="52" t="s">
        <v>281</v>
      </c>
      <c r="D59" s="52" t="s">
        <v>282</v>
      </c>
      <c r="E59" s="126">
        <v>31.365000000000002</v>
      </c>
      <c r="F59" s="126">
        <v>34.569000000000003</v>
      </c>
      <c r="G59" s="589"/>
      <c r="H59" s="58"/>
      <c r="I59" s="290" t="s">
        <v>47</v>
      </c>
      <c r="J59" s="290" t="s">
        <v>278</v>
      </c>
      <c r="K59" s="290" t="s">
        <v>98</v>
      </c>
      <c r="L59" s="591">
        <v>36.715000000000003</v>
      </c>
      <c r="M59" s="591">
        <v>37.79</v>
      </c>
      <c r="N59" s="592"/>
      <c r="V59" t="s">
        <v>284</v>
      </c>
      <c r="W59" t="s">
        <v>285</v>
      </c>
      <c r="X59" s="95">
        <v>21.861000000000001</v>
      </c>
      <c r="Y59" s="95">
        <v>27.055</v>
      </c>
      <c r="Z59" s="46"/>
      <c r="AA59" s="46"/>
      <c r="AB59" s="58"/>
      <c r="AC59" s="52" t="s">
        <v>47</v>
      </c>
      <c r="AD59" s="52" t="s">
        <v>278</v>
      </c>
      <c r="AE59" s="52" t="s">
        <v>98</v>
      </c>
      <c r="AF59" s="96">
        <v>32.042999999999999</v>
      </c>
      <c r="AG59" s="96">
        <v>41.225000000000001</v>
      </c>
      <c r="AH59" s="99"/>
      <c r="AI59" s="99"/>
    </row>
    <row r="60" spans="2:35" x14ac:dyDescent="0.2">
      <c r="C60" t="s">
        <v>284</v>
      </c>
      <c r="D60" t="s">
        <v>285</v>
      </c>
      <c r="E60" s="136">
        <v>24.887</v>
      </c>
      <c r="F60" s="136">
        <v>29.048999999999999</v>
      </c>
      <c r="G60" s="136"/>
      <c r="H60" s="49"/>
      <c r="K60" t="s">
        <v>80</v>
      </c>
      <c r="L60" s="136">
        <v>28.942</v>
      </c>
      <c r="M60" s="136">
        <v>41.371000000000002</v>
      </c>
      <c r="N60" s="123">
        <v>33.761000000000003</v>
      </c>
      <c r="U60" s="52"/>
      <c r="V60" s="52" t="s">
        <v>289</v>
      </c>
      <c r="W60" s="52" t="s">
        <v>290</v>
      </c>
      <c r="X60" s="96">
        <v>30.911999999999999</v>
      </c>
      <c r="Y60" s="96">
        <v>35.433</v>
      </c>
      <c r="Z60" s="99"/>
      <c r="AA60" s="99"/>
      <c r="AB60" s="49"/>
      <c r="AE60" t="s">
        <v>80</v>
      </c>
      <c r="AF60" s="95">
        <v>24.687999999999999</v>
      </c>
      <c r="AG60" s="95">
        <v>31.355</v>
      </c>
      <c r="AH60" s="95">
        <v>31.355</v>
      </c>
      <c r="AI60" s="95">
        <v>31.355</v>
      </c>
    </row>
    <row r="61" spans="2:35" x14ac:dyDescent="0.2">
      <c r="B61" s="52"/>
      <c r="C61" s="52" t="s">
        <v>289</v>
      </c>
      <c r="D61" s="52" t="s">
        <v>290</v>
      </c>
      <c r="E61" s="126">
        <v>37.137999999999998</v>
      </c>
      <c r="F61" s="126">
        <v>41.026000000000003</v>
      </c>
      <c r="G61" s="589"/>
      <c r="H61" s="58"/>
      <c r="I61" s="290"/>
      <c r="J61" s="290"/>
      <c r="K61" s="290" t="s">
        <v>286</v>
      </c>
      <c r="L61" s="591">
        <v>20.475999999999999</v>
      </c>
      <c r="M61" s="591">
        <v>28.21</v>
      </c>
      <c r="N61" s="592"/>
      <c r="V61" t="s">
        <v>292</v>
      </c>
      <c r="W61" t="s">
        <v>293</v>
      </c>
      <c r="X61" s="95">
        <v>29.076000000000001</v>
      </c>
      <c r="Y61" s="95">
        <v>32.743000000000002</v>
      </c>
      <c r="Z61" s="46"/>
      <c r="AA61" s="46"/>
      <c r="AB61" s="58"/>
      <c r="AC61" s="52"/>
      <c r="AD61" s="52"/>
      <c r="AE61" s="52" t="s">
        <v>286</v>
      </c>
      <c r="AF61" s="96">
        <v>30.516999999999999</v>
      </c>
      <c r="AG61" s="96">
        <v>36.933</v>
      </c>
      <c r="AH61" s="99"/>
      <c r="AI61" s="99"/>
    </row>
    <row r="62" spans="2:35" x14ac:dyDescent="0.2">
      <c r="C62" t="s">
        <v>292</v>
      </c>
      <c r="D62" t="s">
        <v>293</v>
      </c>
      <c r="E62" s="136">
        <v>33.086999999999996</v>
      </c>
      <c r="F62" s="136">
        <v>35.920999999999999</v>
      </c>
      <c r="G62" s="136"/>
      <c r="H62" s="49"/>
      <c r="I62" t="s">
        <v>48</v>
      </c>
      <c r="J62" t="s">
        <v>291</v>
      </c>
      <c r="K62" t="s">
        <v>152</v>
      </c>
      <c r="L62" s="136">
        <v>25.817</v>
      </c>
      <c r="M62" s="136">
        <v>47.616</v>
      </c>
      <c r="N62" s="123"/>
      <c r="U62" s="52"/>
      <c r="V62" s="52"/>
      <c r="W62" s="52" t="s">
        <v>294</v>
      </c>
      <c r="X62" s="96">
        <v>21.167000000000002</v>
      </c>
      <c r="Y62" s="96">
        <v>25.155000000000001</v>
      </c>
      <c r="Z62" s="99"/>
      <c r="AA62" s="99"/>
      <c r="AB62" s="49"/>
      <c r="AC62" t="s">
        <v>48</v>
      </c>
      <c r="AD62" t="s">
        <v>291</v>
      </c>
      <c r="AE62" t="s">
        <v>152</v>
      </c>
      <c r="AF62" s="95">
        <v>22.62</v>
      </c>
      <c r="AG62" s="95">
        <v>23.332999999999998</v>
      </c>
      <c r="AH62" s="46"/>
      <c r="AI62" s="46"/>
    </row>
    <row r="63" spans="2:35" x14ac:dyDescent="0.2">
      <c r="B63" s="52"/>
      <c r="C63" s="52" t="s">
        <v>447</v>
      </c>
      <c r="D63" s="52" t="s">
        <v>448</v>
      </c>
      <c r="E63" s="126">
        <v>41.725999999999999</v>
      </c>
      <c r="F63" s="126">
        <v>44.593000000000004</v>
      </c>
      <c r="G63" s="589"/>
      <c r="H63" s="58"/>
      <c r="I63" s="290"/>
      <c r="J63" s="290"/>
      <c r="K63" s="290">
        <v>1</v>
      </c>
      <c r="L63" s="591">
        <v>18.841000000000001</v>
      </c>
      <c r="M63" s="591">
        <v>22.536999999999999</v>
      </c>
      <c r="N63" s="592"/>
      <c r="W63" t="s">
        <v>297</v>
      </c>
      <c r="X63" s="95">
        <v>28.164999999999999</v>
      </c>
      <c r="Y63" s="95">
        <v>30.911999999999999</v>
      </c>
      <c r="Z63" s="46"/>
      <c r="AA63" s="46"/>
      <c r="AB63" s="58"/>
      <c r="AC63" s="52"/>
      <c r="AD63" s="52"/>
      <c r="AE63" s="54">
        <v>1</v>
      </c>
      <c r="AF63" s="96">
        <v>18.852</v>
      </c>
      <c r="AG63" s="96">
        <v>20.677</v>
      </c>
      <c r="AH63" s="99"/>
      <c r="AI63" s="99"/>
    </row>
    <row r="64" spans="2:35" x14ac:dyDescent="0.2">
      <c r="D64" t="s">
        <v>294</v>
      </c>
      <c r="E64" s="136">
        <v>24.861000000000004</v>
      </c>
      <c r="F64" s="136">
        <v>27.708999999999996</v>
      </c>
      <c r="G64" s="136"/>
      <c r="H64" s="49"/>
      <c r="K64" t="s">
        <v>158</v>
      </c>
      <c r="L64" s="136">
        <v>19.87</v>
      </c>
      <c r="M64" s="136">
        <v>24.969000000000001</v>
      </c>
      <c r="N64" s="123"/>
      <c r="U64" s="52"/>
      <c r="V64" s="52"/>
      <c r="W64" s="52" t="s">
        <v>301</v>
      </c>
      <c r="X64" s="96" t="s">
        <v>368</v>
      </c>
      <c r="Y64" s="99">
        <v>32.003</v>
      </c>
      <c r="Z64" s="99"/>
      <c r="AA64" s="99"/>
      <c r="AB64" s="49"/>
      <c r="AE64" t="s">
        <v>158</v>
      </c>
      <c r="AF64" s="95">
        <v>17.358000000000001</v>
      </c>
      <c r="AG64" s="95">
        <v>19.742999999999999</v>
      </c>
      <c r="AH64" s="46"/>
      <c r="AI64" s="46"/>
    </row>
    <row r="65" spans="2:35" x14ac:dyDescent="0.2">
      <c r="B65" s="52"/>
      <c r="C65" s="52"/>
      <c r="D65" s="52" t="s">
        <v>297</v>
      </c>
      <c r="E65" s="126">
        <v>31.550000000000004</v>
      </c>
      <c r="F65" s="126">
        <v>34.364000000000004</v>
      </c>
      <c r="G65" s="589"/>
      <c r="H65" s="58"/>
      <c r="I65" s="290"/>
      <c r="J65" s="290"/>
      <c r="K65" s="290" t="s">
        <v>298</v>
      </c>
      <c r="L65" s="591">
        <v>26.009</v>
      </c>
      <c r="M65" s="591">
        <v>31.242999999999995</v>
      </c>
      <c r="N65" s="592"/>
      <c r="U65" t="s">
        <v>38</v>
      </c>
      <c r="V65" t="s">
        <v>304</v>
      </c>
      <c r="W65" t="s">
        <v>305</v>
      </c>
      <c r="X65" s="95">
        <v>23.187999999999999</v>
      </c>
      <c r="Y65" s="95">
        <v>23.902999999999999</v>
      </c>
      <c r="Z65" s="95">
        <v>23.902999999999999</v>
      </c>
      <c r="AA65" s="95">
        <v>23.902999999999999</v>
      </c>
      <c r="AB65" s="58"/>
      <c r="AC65" s="52"/>
      <c r="AD65" s="52"/>
      <c r="AE65" s="52" t="s">
        <v>298</v>
      </c>
      <c r="AF65" s="96">
        <v>22.934999999999999</v>
      </c>
      <c r="AG65" s="96">
        <v>22.934999999999999</v>
      </c>
      <c r="AH65" s="99"/>
      <c r="AI65" s="99"/>
    </row>
    <row r="66" spans="2:35" ht="13.5" thickBot="1" x14ac:dyDescent="0.25">
      <c r="D66" t="s">
        <v>301</v>
      </c>
      <c r="E66" s="136">
        <v>33.495000000000005</v>
      </c>
      <c r="F66" s="136">
        <v>36.361999999999995</v>
      </c>
      <c r="G66" s="136"/>
      <c r="H66" s="49"/>
      <c r="K66" t="s">
        <v>302</v>
      </c>
      <c r="L66" s="136">
        <v>20.87</v>
      </c>
      <c r="M66" s="136">
        <v>18.170000000000002</v>
      </c>
      <c r="N66" s="123"/>
      <c r="U66" s="70"/>
      <c r="V66" s="70" t="s">
        <v>309</v>
      </c>
      <c r="W66" s="70" t="s">
        <v>310</v>
      </c>
      <c r="X66" s="97">
        <v>16.317</v>
      </c>
      <c r="Y66" s="97">
        <v>17.242999999999999</v>
      </c>
      <c r="Z66" s="100"/>
      <c r="AA66" s="100"/>
      <c r="AB66" s="260"/>
      <c r="AC66" s="47"/>
      <c r="AD66" s="47"/>
      <c r="AE66" s="47" t="s">
        <v>302</v>
      </c>
      <c r="AF66" s="261">
        <v>17.358000000000001</v>
      </c>
      <c r="AG66" s="261">
        <v>19.742999999999999</v>
      </c>
      <c r="AH66" s="68"/>
      <c r="AI66" s="68"/>
    </row>
    <row r="67" spans="2:35" x14ac:dyDescent="0.2">
      <c r="B67" s="52" t="s">
        <v>38</v>
      </c>
      <c r="C67" s="52" t="s">
        <v>304</v>
      </c>
      <c r="D67" s="52" t="s">
        <v>305</v>
      </c>
      <c r="E67" s="126">
        <v>25.530999999999999</v>
      </c>
      <c r="F67" s="126">
        <v>30.183</v>
      </c>
      <c r="G67" s="589">
        <v>28.791000000000004</v>
      </c>
      <c r="H67" s="504"/>
      <c r="I67" s="587"/>
      <c r="J67" s="290"/>
      <c r="K67" s="290"/>
      <c r="L67" s="591"/>
      <c r="M67" s="591"/>
      <c r="N67" s="592"/>
      <c r="U67" s="52" t="s">
        <v>49</v>
      </c>
      <c r="V67" s="52" t="s">
        <v>306</v>
      </c>
      <c r="W67" s="54" t="s">
        <v>98</v>
      </c>
      <c r="X67" s="96">
        <v>25.655999999999999</v>
      </c>
      <c r="Y67" s="96">
        <v>32.018000000000001</v>
      </c>
      <c r="Z67" s="99"/>
      <c r="AA67" s="99"/>
      <c r="AB67" s="73"/>
      <c r="AC67" s="52" t="s">
        <v>54</v>
      </c>
      <c r="AD67" s="52" t="s">
        <v>307</v>
      </c>
      <c r="AE67" s="54" t="s">
        <v>308</v>
      </c>
      <c r="AF67" s="96">
        <v>12.868</v>
      </c>
      <c r="AG67" s="96">
        <v>18.890999999999998</v>
      </c>
      <c r="AH67" s="96"/>
      <c r="AI67" s="96"/>
    </row>
    <row r="68" spans="2:35" ht="13.5" thickBot="1" x14ac:dyDescent="0.25">
      <c r="B68" s="391"/>
      <c r="C68" s="391" t="s">
        <v>309</v>
      </c>
      <c r="D68" s="391" t="s">
        <v>310</v>
      </c>
      <c r="E68" s="590">
        <v>14.670999999999998</v>
      </c>
      <c r="F68" s="590">
        <v>17.658999999999999</v>
      </c>
      <c r="G68" s="590"/>
      <c r="H68" s="71"/>
      <c r="I68" s="588"/>
      <c r="J68" s="391"/>
      <c r="K68" s="391"/>
      <c r="L68" s="590"/>
      <c r="M68" s="590"/>
      <c r="N68" s="593"/>
      <c r="U68" s="6"/>
      <c r="V68" s="6" t="s">
        <v>311</v>
      </c>
      <c r="W68" s="61" t="s">
        <v>312</v>
      </c>
      <c r="X68" s="130">
        <v>25.03</v>
      </c>
      <c r="Y68" s="130">
        <v>31.527999999999999</v>
      </c>
      <c r="Z68" s="21"/>
      <c r="AA68" s="21"/>
      <c r="AB68" s="51"/>
      <c r="AC68" s="6" t="s">
        <v>83</v>
      </c>
      <c r="AD68" s="6"/>
      <c r="AE68" s="61" t="s">
        <v>80</v>
      </c>
      <c r="AF68" s="95">
        <v>21.831</v>
      </c>
      <c r="AG68" s="95">
        <v>28.103000000000002</v>
      </c>
      <c r="AH68" s="21"/>
      <c r="AI68" s="21"/>
    </row>
    <row r="69" spans="2:35" x14ac:dyDescent="0.2">
      <c r="B69" s="6" t="s">
        <v>325</v>
      </c>
      <c r="C69" s="6"/>
      <c r="D69" s="6"/>
      <c r="E69" s="6"/>
      <c r="F69" s="6"/>
      <c r="G69" s="6"/>
      <c r="H69" s="72"/>
      <c r="I69" s="6"/>
      <c r="J69" s="6"/>
      <c r="K69" s="6"/>
      <c r="L69" s="6"/>
      <c r="M69" s="6"/>
      <c r="N69" s="6"/>
      <c r="U69" s="52"/>
      <c r="V69" s="52" t="s">
        <v>314</v>
      </c>
      <c r="W69" s="54" t="s">
        <v>315</v>
      </c>
      <c r="X69" s="96">
        <v>18.544</v>
      </c>
      <c r="Y69" s="96">
        <v>24.251999999999999</v>
      </c>
      <c r="Z69" s="99"/>
      <c r="AA69" s="99"/>
      <c r="AB69" s="73"/>
      <c r="AC69" s="52"/>
      <c r="AD69" s="52"/>
      <c r="AE69" s="54" t="s">
        <v>122</v>
      </c>
      <c r="AF69" s="96">
        <v>23.527999999999999</v>
      </c>
      <c r="AG69" s="96">
        <v>12.868</v>
      </c>
      <c r="AH69" s="96"/>
      <c r="AI69" s="96"/>
    </row>
    <row r="70" spans="2:35" x14ac:dyDescent="0.2">
      <c r="B70" s="6"/>
      <c r="C70" s="6"/>
      <c r="D70" s="6"/>
      <c r="E70" s="6"/>
      <c r="F70" s="6"/>
      <c r="G70" s="6"/>
      <c r="H70" s="72"/>
      <c r="I70" s="6"/>
      <c r="J70" s="6"/>
      <c r="K70" s="6"/>
      <c r="L70" s="253"/>
      <c r="M70" s="253"/>
      <c r="N70" s="253"/>
      <c r="W70" s="50" t="s">
        <v>80</v>
      </c>
      <c r="X70" s="95">
        <v>18.792999999999999</v>
      </c>
      <c r="Y70" s="95">
        <v>23.459</v>
      </c>
      <c r="Z70" s="46"/>
      <c r="AA70" s="46"/>
      <c r="AB70" s="51"/>
      <c r="AE70" s="50" t="s">
        <v>81</v>
      </c>
      <c r="AF70" s="95">
        <v>12.381</v>
      </c>
      <c r="AG70" s="95">
        <v>17.684000000000001</v>
      </c>
      <c r="AH70" s="95"/>
      <c r="AI70" s="95"/>
    </row>
    <row r="71" spans="2:35" x14ac:dyDescent="0.2">
      <c r="B71" s="6"/>
      <c r="C71" s="6"/>
      <c r="D71" s="6"/>
      <c r="E71" s="6"/>
      <c r="F71" s="6"/>
      <c r="G71" s="6"/>
      <c r="H71" s="72"/>
      <c r="I71" s="6"/>
      <c r="J71" s="6"/>
      <c r="K71" s="6"/>
      <c r="L71" s="6"/>
      <c r="M71" s="6"/>
      <c r="N71" s="6"/>
      <c r="U71" s="52"/>
      <c r="V71" s="52"/>
      <c r="W71" s="54" t="s">
        <v>85</v>
      </c>
      <c r="X71" s="96">
        <v>19.37</v>
      </c>
      <c r="Y71" s="96">
        <v>23.878</v>
      </c>
      <c r="Z71" s="99"/>
      <c r="AA71" s="99"/>
      <c r="AB71" s="73"/>
      <c r="AC71" s="52"/>
      <c r="AD71" s="52"/>
      <c r="AE71" s="54">
        <v>50</v>
      </c>
      <c r="AF71" s="96">
        <v>19.234000000000002</v>
      </c>
      <c r="AG71" s="96">
        <v>25.5</v>
      </c>
      <c r="AH71" s="96"/>
      <c r="AI71" s="96"/>
    </row>
    <row r="72" spans="2:35" x14ac:dyDescent="0.2">
      <c r="B72" s="6"/>
      <c r="C72" s="6"/>
      <c r="D72" s="6"/>
      <c r="E72" s="6"/>
      <c r="F72" s="6"/>
      <c r="G72" s="6"/>
      <c r="H72" s="72"/>
      <c r="I72" s="6"/>
      <c r="J72" s="6"/>
      <c r="K72" s="6"/>
      <c r="L72" s="6"/>
      <c r="M72" s="6"/>
      <c r="N72" s="6"/>
      <c r="W72" s="50" t="s">
        <v>88</v>
      </c>
      <c r="X72" s="95">
        <v>17.564</v>
      </c>
      <c r="Y72" s="95">
        <v>22.106000000000002</v>
      </c>
      <c r="Z72" s="46"/>
      <c r="AA72" s="46"/>
      <c r="AB72" s="51"/>
      <c r="AC72" t="s">
        <v>56</v>
      </c>
      <c r="AD72" t="s">
        <v>56</v>
      </c>
      <c r="AE72" s="50" t="s">
        <v>89</v>
      </c>
      <c r="AF72" s="95">
        <v>19.619</v>
      </c>
      <c r="AG72" s="95">
        <v>29.141999999999999</v>
      </c>
      <c r="AH72" s="46"/>
      <c r="AI72" s="46"/>
    </row>
    <row r="73" spans="2:35" x14ac:dyDescent="0.2">
      <c r="B73" s="6"/>
      <c r="C73" s="6"/>
      <c r="D73" s="6"/>
      <c r="E73" s="6"/>
      <c r="F73" s="6"/>
      <c r="G73" s="6"/>
      <c r="H73" s="72"/>
      <c r="I73" s="6"/>
      <c r="J73" s="6"/>
      <c r="K73" s="6"/>
      <c r="L73" s="6"/>
      <c r="M73" s="6"/>
      <c r="N73" s="6"/>
      <c r="U73" s="52"/>
      <c r="V73" s="52"/>
      <c r="W73" s="54">
        <v>16</v>
      </c>
      <c r="X73" s="96">
        <v>26.309000000000001</v>
      </c>
      <c r="Y73" s="96">
        <v>30.852</v>
      </c>
      <c r="Z73" s="99"/>
      <c r="AA73" s="99"/>
      <c r="AB73" s="73"/>
      <c r="AC73" s="8"/>
      <c r="AD73" s="52" t="s">
        <v>93</v>
      </c>
      <c r="AE73" s="54" t="s">
        <v>94</v>
      </c>
      <c r="AF73" s="96">
        <v>16.533999999999999</v>
      </c>
      <c r="AG73" s="96">
        <v>24.484000000000002</v>
      </c>
      <c r="AH73" s="99"/>
      <c r="AI73" s="99"/>
    </row>
    <row r="74" spans="2:35" x14ac:dyDescent="0.2">
      <c r="B74" s="6"/>
      <c r="C74" s="6"/>
      <c r="D74" s="6"/>
      <c r="E74" s="6"/>
      <c r="F74" s="6"/>
      <c r="G74" s="6"/>
      <c r="H74" s="72"/>
      <c r="I74" s="6"/>
      <c r="J74" s="6"/>
      <c r="K74" s="6"/>
      <c r="L74" s="6"/>
      <c r="M74" s="6"/>
      <c r="N74" s="6"/>
      <c r="U74" t="s">
        <v>50</v>
      </c>
      <c r="V74" t="s">
        <v>99</v>
      </c>
      <c r="W74" s="50" t="s">
        <v>98</v>
      </c>
      <c r="X74" s="95">
        <v>23.881</v>
      </c>
      <c r="Y74" s="95">
        <v>32.808</v>
      </c>
      <c r="Z74" s="46"/>
      <c r="AA74" s="46"/>
      <c r="AB74" s="51"/>
      <c r="AD74" t="s">
        <v>100</v>
      </c>
      <c r="AE74" s="50" t="s">
        <v>101</v>
      </c>
      <c r="AF74" s="95">
        <v>19.073</v>
      </c>
      <c r="AG74" s="95">
        <v>26.393999999999998</v>
      </c>
      <c r="AH74" s="46"/>
      <c r="AI74" s="46"/>
    </row>
    <row r="75" spans="2:35" x14ac:dyDescent="0.2">
      <c r="B75" s="6"/>
      <c r="C75" s="6"/>
      <c r="D75" s="6"/>
      <c r="E75" s="6"/>
      <c r="F75" s="6"/>
      <c r="G75" s="6"/>
      <c r="H75" s="72"/>
      <c r="I75" s="6"/>
      <c r="J75" s="6"/>
      <c r="K75" s="6"/>
      <c r="L75" s="6"/>
      <c r="M75" s="6"/>
      <c r="N75" s="6"/>
      <c r="U75" s="8"/>
      <c r="V75" s="52" t="s">
        <v>105</v>
      </c>
      <c r="W75" s="54" t="s">
        <v>106</v>
      </c>
      <c r="X75" s="96">
        <v>20.821999999999999</v>
      </c>
      <c r="Y75" s="96">
        <v>29.617000000000001</v>
      </c>
      <c r="Z75" s="99"/>
      <c r="AA75" s="99"/>
      <c r="AB75" s="73"/>
      <c r="AC75" s="52"/>
      <c r="AD75" s="52"/>
      <c r="AE75" s="54" t="s">
        <v>107</v>
      </c>
      <c r="AF75" s="96">
        <v>18.024000000000001</v>
      </c>
      <c r="AG75" s="96">
        <v>26.286000000000001</v>
      </c>
      <c r="AH75" s="99"/>
      <c r="AI75" s="99"/>
    </row>
    <row r="76" spans="2:35" x14ac:dyDescent="0.2">
      <c r="B76" s="6"/>
      <c r="C76" s="6"/>
      <c r="D76" s="6"/>
      <c r="E76" s="6"/>
      <c r="F76" s="6"/>
      <c r="G76" s="6"/>
      <c r="H76" s="72"/>
      <c r="I76" s="6"/>
      <c r="J76" s="6"/>
      <c r="K76" s="6"/>
      <c r="L76" s="6"/>
      <c r="M76" s="6"/>
      <c r="N76" s="6"/>
      <c r="V76" t="s">
        <v>111</v>
      </c>
      <c r="W76" s="50" t="s">
        <v>112</v>
      </c>
      <c r="X76" s="95">
        <v>21.314</v>
      </c>
      <c r="Y76" s="95">
        <v>28.71</v>
      </c>
      <c r="Z76" s="46"/>
      <c r="AA76" s="46"/>
      <c r="AB76" s="51"/>
      <c r="AE76" s="50">
        <v>1</v>
      </c>
      <c r="AF76" s="95">
        <v>19.491</v>
      </c>
      <c r="AG76" s="95">
        <v>26.914000000000001</v>
      </c>
      <c r="AH76" s="95"/>
      <c r="AI76" s="46"/>
    </row>
    <row r="77" spans="2:35" x14ac:dyDescent="0.2">
      <c r="B77" s="6"/>
      <c r="C77" s="6"/>
      <c r="D77" s="6"/>
      <c r="E77" s="6"/>
      <c r="F77" s="6"/>
      <c r="G77" s="6"/>
      <c r="H77" s="72"/>
      <c r="I77" s="6"/>
      <c r="J77" s="6"/>
      <c r="K77" s="6"/>
      <c r="L77" s="6"/>
      <c r="M77" s="6"/>
      <c r="N77" s="6"/>
      <c r="U77" s="52"/>
      <c r="V77" s="52" t="s">
        <v>116</v>
      </c>
      <c r="W77" s="54" t="s">
        <v>117</v>
      </c>
      <c r="X77" s="96">
        <v>24.962</v>
      </c>
      <c r="Y77" s="96">
        <v>32.5</v>
      </c>
      <c r="Z77" s="99"/>
      <c r="AA77" s="99"/>
      <c r="AB77" s="73"/>
      <c r="AC77" s="52"/>
      <c r="AD77" s="52"/>
      <c r="AE77" s="54" t="s">
        <v>108</v>
      </c>
      <c r="AF77" s="96">
        <v>19.073</v>
      </c>
      <c r="AG77" s="96">
        <v>26.393999999999998</v>
      </c>
      <c r="AH77" s="96"/>
      <c r="AI77" s="99"/>
    </row>
    <row r="78" spans="2:35" x14ac:dyDescent="0.2">
      <c r="B78" s="6"/>
      <c r="C78" s="6"/>
      <c r="D78" s="6"/>
      <c r="E78" s="6"/>
      <c r="F78" s="6"/>
      <c r="G78" s="6"/>
      <c r="H78" s="72"/>
      <c r="I78" s="6"/>
      <c r="J78" s="6"/>
      <c r="K78" s="6"/>
      <c r="L78" s="6"/>
      <c r="M78" s="6"/>
      <c r="N78" s="6"/>
      <c r="W78" s="50" t="s">
        <v>80</v>
      </c>
      <c r="X78" s="95">
        <v>25.57</v>
      </c>
      <c r="Y78" s="95">
        <v>20.821999999999999</v>
      </c>
      <c r="Z78" s="46"/>
      <c r="AA78" s="46"/>
      <c r="AB78" s="51"/>
      <c r="AE78" s="50" t="s">
        <v>120</v>
      </c>
      <c r="AF78" s="95">
        <v>20.628</v>
      </c>
      <c r="AG78" s="95">
        <v>26.393999999999998</v>
      </c>
      <c r="AH78" s="46"/>
      <c r="AI78" s="46"/>
    </row>
    <row r="79" spans="2:35" x14ac:dyDescent="0.2">
      <c r="B79" s="6"/>
      <c r="C79" s="6"/>
      <c r="D79" s="6"/>
      <c r="E79" s="6"/>
      <c r="F79" s="6"/>
      <c r="G79" s="6"/>
      <c r="H79" s="72"/>
      <c r="I79" s="6"/>
      <c r="J79" s="6"/>
      <c r="K79" s="6"/>
      <c r="L79" s="6"/>
      <c r="M79" s="6"/>
      <c r="N79" s="6"/>
      <c r="U79" s="52"/>
      <c r="V79" s="52"/>
      <c r="W79" s="54" t="s">
        <v>123</v>
      </c>
      <c r="X79" s="96">
        <v>16.802</v>
      </c>
      <c r="Y79" s="96">
        <v>21.966999999999999</v>
      </c>
      <c r="Z79" s="99"/>
      <c r="AA79" s="99"/>
      <c r="AB79" s="73"/>
      <c r="AC79" s="52" t="s">
        <v>57</v>
      </c>
      <c r="AD79" s="52" t="s">
        <v>124</v>
      </c>
      <c r="AE79" s="54" t="s">
        <v>125</v>
      </c>
      <c r="AF79" s="96">
        <v>22.18</v>
      </c>
      <c r="AG79" s="96">
        <v>24.451000000000001</v>
      </c>
      <c r="AH79" s="99"/>
      <c r="AI79" s="99"/>
    </row>
    <row r="80" spans="2:35" x14ac:dyDescent="0.2">
      <c r="H80" s="72"/>
      <c r="I80" s="6"/>
      <c r="J80" s="6"/>
      <c r="K80" s="6"/>
      <c r="L80" s="6"/>
      <c r="M80" s="6"/>
      <c r="N80" s="6"/>
      <c r="W80" s="50" t="s">
        <v>129</v>
      </c>
      <c r="X80" s="95">
        <v>15.432</v>
      </c>
      <c r="Y80" s="95">
        <v>21.06</v>
      </c>
      <c r="Z80" s="46"/>
      <c r="AA80" s="46"/>
      <c r="AB80" s="51"/>
      <c r="AC80" s="6"/>
      <c r="AD80" t="s">
        <v>130</v>
      </c>
      <c r="AE80" s="50" t="s">
        <v>131</v>
      </c>
      <c r="AF80" s="95">
        <v>22.283999999999999</v>
      </c>
      <c r="AG80" s="95">
        <v>24.312000000000001</v>
      </c>
      <c r="AH80" s="46"/>
      <c r="AI80" s="46"/>
    </row>
    <row r="81" spans="2:35" ht="17.25" customHeight="1" x14ac:dyDescent="0.2">
      <c r="B81" s="607">
        <f>'9'!C61+1</f>
        <v>18</v>
      </c>
      <c r="C81" s="607"/>
      <c r="D81" s="607"/>
      <c r="E81" s="607"/>
      <c r="F81" s="607"/>
      <c r="G81" s="607"/>
      <c r="H81" s="607"/>
      <c r="I81" s="607"/>
      <c r="J81" s="607"/>
      <c r="K81" s="607"/>
      <c r="L81" s="607"/>
      <c r="M81" s="607"/>
      <c r="N81" s="607"/>
      <c r="U81" s="52"/>
      <c r="V81" s="52"/>
      <c r="W81" s="54" t="s">
        <v>135</v>
      </c>
      <c r="X81" s="96">
        <v>24.97</v>
      </c>
      <c r="Y81" s="96">
        <v>16.777999999999999</v>
      </c>
      <c r="Z81" s="99"/>
      <c r="AA81" s="99"/>
      <c r="AB81" s="73"/>
      <c r="AC81" s="52"/>
      <c r="AD81" s="52" t="s">
        <v>136</v>
      </c>
      <c r="AE81" s="54" t="s">
        <v>137</v>
      </c>
      <c r="AF81" s="96">
        <v>22.91</v>
      </c>
      <c r="AG81" s="96">
        <v>24.05</v>
      </c>
      <c r="AH81" s="99"/>
      <c r="AI81" s="99"/>
    </row>
    <row r="82" spans="2:35" ht="15" x14ac:dyDescent="0.2">
      <c r="H82" s="106"/>
      <c r="I82" s="106"/>
      <c r="J82" s="106"/>
      <c r="K82" s="106"/>
      <c r="L82" s="106"/>
      <c r="M82" s="106"/>
      <c r="N82" s="106"/>
      <c r="W82" s="50" t="s">
        <v>142</v>
      </c>
      <c r="X82" s="95">
        <v>21.783999999999999</v>
      </c>
      <c r="Y82" s="95">
        <v>16.788</v>
      </c>
      <c r="Z82" s="46"/>
      <c r="AA82" s="46"/>
      <c r="AB82" s="51"/>
      <c r="AE82" s="50" t="s">
        <v>143</v>
      </c>
      <c r="AF82" s="95">
        <v>20.713999999999999</v>
      </c>
      <c r="AG82" s="95">
        <v>22.225999999999999</v>
      </c>
      <c r="AH82" s="46"/>
      <c r="AI82" s="46"/>
    </row>
    <row r="83" spans="2:35" x14ac:dyDescent="0.2">
      <c r="U83" s="52"/>
      <c r="V83" s="52"/>
      <c r="W83" s="54">
        <v>33</v>
      </c>
      <c r="X83" s="96">
        <v>15.432</v>
      </c>
      <c r="Y83" s="96">
        <v>21.06</v>
      </c>
      <c r="Z83" s="96">
        <v>21.06</v>
      </c>
      <c r="AA83" s="96">
        <v>21.06</v>
      </c>
      <c r="AB83" s="73"/>
      <c r="AC83" s="52" t="s">
        <v>58</v>
      </c>
      <c r="AD83" s="52" t="s">
        <v>58</v>
      </c>
      <c r="AE83" s="54" t="s">
        <v>98</v>
      </c>
      <c r="AF83" s="96">
        <v>30.513000000000002</v>
      </c>
      <c r="AG83" s="96">
        <v>32.853999999999999</v>
      </c>
      <c r="AH83" s="99"/>
      <c r="AI83" s="99"/>
    </row>
    <row r="84" spans="2:35" x14ac:dyDescent="0.2">
      <c r="W84" s="50">
        <v>53</v>
      </c>
      <c r="X84" s="95">
        <v>10.494</v>
      </c>
      <c r="Y84" s="95">
        <v>15.5</v>
      </c>
      <c r="Z84" s="46"/>
      <c r="AA84" s="46"/>
      <c r="AB84" s="51"/>
      <c r="AC84" s="6"/>
      <c r="AD84" t="s">
        <v>151</v>
      </c>
      <c r="AE84" s="50" t="s">
        <v>152</v>
      </c>
      <c r="AF84" s="95">
        <v>20.873000000000001</v>
      </c>
      <c r="AG84" s="95">
        <v>22.385000000000002</v>
      </c>
      <c r="AH84" s="95"/>
      <c r="AI84" s="95"/>
    </row>
    <row r="85" spans="2:35" x14ac:dyDescent="0.2">
      <c r="U85" s="52" t="s">
        <v>51</v>
      </c>
      <c r="V85" s="52" t="s">
        <v>155</v>
      </c>
      <c r="W85" s="54" t="s">
        <v>106</v>
      </c>
      <c r="X85" s="96">
        <v>23.518999999999998</v>
      </c>
      <c r="Y85" s="96">
        <v>31.577999999999999</v>
      </c>
      <c r="Z85" s="99"/>
      <c r="AA85" s="99"/>
      <c r="AB85" s="73"/>
      <c r="AC85" s="52"/>
      <c r="AD85" s="52"/>
      <c r="AE85" s="54" t="s">
        <v>80</v>
      </c>
      <c r="AF85" s="96">
        <v>25.704999999999998</v>
      </c>
      <c r="AG85" s="96">
        <v>27.041</v>
      </c>
      <c r="AH85" s="96"/>
      <c r="AI85" s="96"/>
    </row>
    <row r="86" spans="2:35" x14ac:dyDescent="0.2">
      <c r="U86" s="6"/>
      <c r="V86" t="s">
        <v>93</v>
      </c>
      <c r="W86" s="50" t="s">
        <v>157</v>
      </c>
      <c r="X86" s="95">
        <v>26.245000000000001</v>
      </c>
      <c r="Y86" s="95">
        <v>14.2</v>
      </c>
      <c r="Z86" s="46"/>
      <c r="AA86" s="46"/>
      <c r="AB86" s="51"/>
      <c r="AE86" s="50" t="s">
        <v>158</v>
      </c>
      <c r="AF86" s="95">
        <v>20.129000000000001</v>
      </c>
      <c r="AG86" s="95">
        <v>20.16</v>
      </c>
      <c r="AH86" s="46"/>
      <c r="AI86" s="46"/>
    </row>
    <row r="87" spans="2:35" x14ac:dyDescent="0.2">
      <c r="U87" s="52"/>
      <c r="V87" s="52"/>
      <c r="W87" s="54" t="s">
        <v>123</v>
      </c>
      <c r="X87" s="96">
        <v>20.055</v>
      </c>
      <c r="Y87" s="96">
        <v>28.440999999999999</v>
      </c>
      <c r="Z87" s="99"/>
      <c r="AA87" s="99"/>
      <c r="AB87" s="73"/>
      <c r="AC87" s="52"/>
      <c r="AD87" s="52"/>
      <c r="AE87" s="54">
        <v>5</v>
      </c>
      <c r="AF87" s="96">
        <v>28.471</v>
      </c>
      <c r="AG87" s="96">
        <v>29.978000000000002</v>
      </c>
      <c r="AH87" s="99"/>
      <c r="AI87" s="99"/>
    </row>
    <row r="88" spans="2:35" x14ac:dyDescent="0.2">
      <c r="W88" s="50" t="s">
        <v>163</v>
      </c>
      <c r="X88" s="95">
        <v>17.866</v>
      </c>
      <c r="Y88" s="95">
        <v>26.506</v>
      </c>
      <c r="Z88" s="95">
        <v>27.065000000000001</v>
      </c>
      <c r="AA88" s="95">
        <v>27.065000000000001</v>
      </c>
      <c r="AB88" s="51"/>
      <c r="AE88" s="50" t="s">
        <v>164</v>
      </c>
      <c r="AF88" s="95">
        <v>24.015999999999998</v>
      </c>
      <c r="AG88" s="95">
        <v>25.195</v>
      </c>
      <c r="AH88" s="46"/>
      <c r="AI88" s="46"/>
    </row>
    <row r="89" spans="2:35" x14ac:dyDescent="0.2">
      <c r="U89" s="52"/>
      <c r="V89" s="52"/>
      <c r="W89" s="54" t="s">
        <v>167</v>
      </c>
      <c r="X89" s="96">
        <v>14.2</v>
      </c>
      <c r="Y89" s="96">
        <v>22.388999999999999</v>
      </c>
      <c r="Z89" s="99"/>
      <c r="AA89" s="99"/>
      <c r="AB89" s="73"/>
      <c r="AC89" s="52"/>
      <c r="AD89" s="52"/>
      <c r="AE89" s="54" t="s">
        <v>168</v>
      </c>
      <c r="AF89" s="96">
        <v>21.164000000000001</v>
      </c>
      <c r="AG89" s="96">
        <v>22.295999999999999</v>
      </c>
      <c r="AH89" s="99"/>
      <c r="AI89" s="99"/>
    </row>
    <row r="90" spans="2:35" x14ac:dyDescent="0.2">
      <c r="W90" s="50">
        <v>53</v>
      </c>
      <c r="X90" s="95">
        <v>12.865</v>
      </c>
      <c r="Y90" s="95">
        <v>21.295000000000002</v>
      </c>
      <c r="Z90" s="95">
        <v>21.853999999999999</v>
      </c>
      <c r="AA90" s="95">
        <v>21.853999999999999</v>
      </c>
      <c r="AB90" s="51"/>
      <c r="AE90" s="50" t="s">
        <v>171</v>
      </c>
      <c r="AF90" s="95">
        <v>23.855</v>
      </c>
      <c r="AG90" s="95">
        <v>24.992999999999999</v>
      </c>
      <c r="AH90" s="46"/>
      <c r="AI90" s="46"/>
    </row>
    <row r="91" spans="2:35" x14ac:dyDescent="0.2">
      <c r="U91" s="52"/>
      <c r="V91" s="52"/>
      <c r="W91" s="54" t="s">
        <v>173</v>
      </c>
      <c r="X91" s="96">
        <v>19.242000000000001</v>
      </c>
      <c r="Y91" s="96">
        <v>27.102</v>
      </c>
      <c r="Z91" s="99"/>
      <c r="AA91" s="99"/>
      <c r="AB91" s="73"/>
      <c r="AC91" s="52" t="s">
        <v>59</v>
      </c>
      <c r="AD91" s="52" t="s">
        <v>59</v>
      </c>
      <c r="AE91" s="54" t="s">
        <v>98</v>
      </c>
      <c r="AF91" s="96">
        <v>14.680999999999999</v>
      </c>
      <c r="AG91" s="96">
        <v>19.466000000000001</v>
      </c>
      <c r="AH91" s="99"/>
      <c r="AI91" s="99"/>
    </row>
    <row r="92" spans="2:35" x14ac:dyDescent="0.2">
      <c r="W92" s="50">
        <v>32</v>
      </c>
      <c r="X92" s="95">
        <v>17.643000000000001</v>
      </c>
      <c r="Y92" s="95">
        <v>26.001000000000001</v>
      </c>
      <c r="Z92" s="46"/>
      <c r="AA92" s="46"/>
      <c r="AB92" s="51"/>
      <c r="AC92" s="6"/>
      <c r="AD92" t="s">
        <v>175</v>
      </c>
      <c r="AE92" s="50" t="s">
        <v>176</v>
      </c>
      <c r="AF92" s="95">
        <v>14.358000000000001</v>
      </c>
      <c r="AG92" s="95">
        <v>20.106000000000002</v>
      </c>
      <c r="AH92" s="46"/>
      <c r="AI92" s="46"/>
    </row>
    <row r="93" spans="2:35" x14ac:dyDescent="0.2">
      <c r="U93" s="52" t="s">
        <v>52</v>
      </c>
      <c r="V93" s="52" t="s">
        <v>178</v>
      </c>
      <c r="W93" s="54" t="s">
        <v>98</v>
      </c>
      <c r="X93" s="96">
        <v>26.431000000000001</v>
      </c>
      <c r="Y93" s="96">
        <v>26.445</v>
      </c>
      <c r="Z93" s="99"/>
      <c r="AA93" s="99"/>
      <c r="AB93" s="73"/>
      <c r="AC93" s="52"/>
      <c r="AD93" s="52" t="s">
        <v>179</v>
      </c>
      <c r="AE93" s="54" t="s">
        <v>180</v>
      </c>
      <c r="AF93" s="96">
        <v>16.765999999999998</v>
      </c>
      <c r="AG93" s="96">
        <v>21.404</v>
      </c>
      <c r="AH93" s="96"/>
      <c r="AI93" s="96"/>
    </row>
    <row r="94" spans="2:35" x14ac:dyDescent="0.2">
      <c r="U94" s="6"/>
      <c r="V94" t="s">
        <v>184</v>
      </c>
      <c r="W94" s="50" t="s">
        <v>185</v>
      </c>
      <c r="X94" s="95">
        <v>19.568000000000001</v>
      </c>
      <c r="Y94" s="95">
        <v>20.21</v>
      </c>
      <c r="Z94" s="46"/>
      <c r="AA94" s="46"/>
      <c r="AB94" s="51"/>
      <c r="AD94" t="s">
        <v>186</v>
      </c>
      <c r="AE94" s="50" t="s">
        <v>187</v>
      </c>
      <c r="AF94" s="95">
        <v>16.43</v>
      </c>
      <c r="AG94" s="95">
        <v>18.292999999999999</v>
      </c>
      <c r="AH94" s="95"/>
      <c r="AI94" s="95"/>
    </row>
    <row r="95" spans="2:35" x14ac:dyDescent="0.2">
      <c r="U95" s="52"/>
      <c r="V95" s="52" t="s">
        <v>191</v>
      </c>
      <c r="W95" s="54" t="s">
        <v>147</v>
      </c>
      <c r="X95" s="96">
        <v>16.709</v>
      </c>
      <c r="Y95" s="96">
        <v>16.702000000000002</v>
      </c>
      <c r="Z95" s="99"/>
      <c r="AA95" s="99"/>
      <c r="AB95" s="73"/>
      <c r="AC95" s="52"/>
      <c r="AD95" s="52"/>
      <c r="AE95" s="54" t="s">
        <v>80</v>
      </c>
      <c r="AF95" s="96">
        <v>12.43</v>
      </c>
      <c r="AG95" s="96">
        <v>16.169</v>
      </c>
      <c r="AH95" s="96"/>
      <c r="AI95" s="96"/>
    </row>
    <row r="96" spans="2:35" x14ac:dyDescent="0.2">
      <c r="V96" t="s">
        <v>195</v>
      </c>
      <c r="W96" s="50" t="s">
        <v>196</v>
      </c>
      <c r="X96" s="95">
        <v>19.116</v>
      </c>
      <c r="Y96" s="95">
        <v>18.934999999999999</v>
      </c>
      <c r="Z96" s="46"/>
      <c r="AA96" s="46"/>
      <c r="AB96" s="51"/>
      <c r="AE96" s="50" t="s">
        <v>197</v>
      </c>
      <c r="AF96" s="95">
        <v>12.43</v>
      </c>
      <c r="AG96" s="95">
        <v>16.169</v>
      </c>
      <c r="AH96" s="46"/>
      <c r="AI96" s="46"/>
    </row>
    <row r="97" spans="21:35" x14ac:dyDescent="0.2">
      <c r="U97" s="52"/>
      <c r="V97" s="52" t="s">
        <v>201</v>
      </c>
      <c r="W97" s="54" t="s">
        <v>202</v>
      </c>
      <c r="X97" s="96">
        <v>18.62</v>
      </c>
      <c r="Y97" s="96">
        <v>19.206</v>
      </c>
      <c r="Z97" s="99"/>
      <c r="AA97" s="99"/>
      <c r="AB97" s="73"/>
      <c r="AC97" s="52"/>
      <c r="AD97" s="52"/>
      <c r="AE97" s="54">
        <v>4</v>
      </c>
      <c r="AF97" s="96">
        <v>15.441000000000001</v>
      </c>
      <c r="AG97" s="96">
        <v>19.757000000000001</v>
      </c>
      <c r="AH97" s="96"/>
      <c r="AI97" s="96"/>
    </row>
    <row r="98" spans="21:35" x14ac:dyDescent="0.2">
      <c r="W98" s="50" t="s">
        <v>80</v>
      </c>
      <c r="X98" s="95">
        <v>23.206</v>
      </c>
      <c r="Y98" s="95">
        <v>23.22</v>
      </c>
      <c r="Z98" s="46"/>
      <c r="AA98" s="46"/>
      <c r="AB98" s="51"/>
      <c r="AE98" s="50">
        <v>6</v>
      </c>
      <c r="AF98" s="95">
        <v>15.706</v>
      </c>
      <c r="AG98" s="95">
        <v>19.948</v>
      </c>
      <c r="AH98" s="95"/>
      <c r="AI98" s="95"/>
    </row>
    <row r="99" spans="21:35" x14ac:dyDescent="0.2">
      <c r="U99" s="52"/>
      <c r="V99" s="52"/>
      <c r="W99" s="54" t="s">
        <v>122</v>
      </c>
      <c r="X99" s="96">
        <v>17.687000000000001</v>
      </c>
      <c r="Y99" s="96">
        <v>18.177</v>
      </c>
      <c r="Z99" s="96">
        <v>18.177</v>
      </c>
      <c r="AA99" s="96">
        <v>18.177</v>
      </c>
      <c r="AB99" s="73"/>
      <c r="AC99" s="52"/>
      <c r="AD99" s="52"/>
      <c r="AE99" s="54" t="s">
        <v>207</v>
      </c>
      <c r="AF99" s="96">
        <v>15.084</v>
      </c>
      <c r="AG99" s="96">
        <v>16.43</v>
      </c>
      <c r="AH99" s="96"/>
      <c r="AI99" s="96"/>
    </row>
    <row r="100" spans="21:35" x14ac:dyDescent="0.2">
      <c r="W100" s="50" t="s">
        <v>160</v>
      </c>
      <c r="X100" s="95">
        <v>14.484</v>
      </c>
      <c r="Y100" s="95">
        <v>14.477</v>
      </c>
      <c r="Z100" s="95">
        <v>14.5</v>
      </c>
      <c r="AA100" s="95">
        <v>14.5</v>
      </c>
      <c r="AB100" s="51"/>
      <c r="AC100" t="s">
        <v>60</v>
      </c>
      <c r="AD100" t="s">
        <v>210</v>
      </c>
      <c r="AE100" s="50" t="s">
        <v>211</v>
      </c>
      <c r="AF100" s="95">
        <v>22.617999999999999</v>
      </c>
      <c r="AG100" s="95">
        <v>21.125</v>
      </c>
      <c r="AH100" s="95"/>
      <c r="AI100" s="95"/>
    </row>
    <row r="101" spans="21:35" x14ac:dyDescent="0.2">
      <c r="U101" s="52"/>
      <c r="V101" s="52"/>
      <c r="W101" s="54" t="s">
        <v>215</v>
      </c>
      <c r="X101" s="96">
        <v>17.02</v>
      </c>
      <c r="Y101" s="96">
        <v>16.981000000000002</v>
      </c>
      <c r="Z101" s="96">
        <v>19.116</v>
      </c>
      <c r="AA101" s="96">
        <v>18.934999999999999</v>
      </c>
      <c r="AB101" s="73"/>
      <c r="AC101" s="8"/>
      <c r="AD101" s="52" t="s">
        <v>216</v>
      </c>
      <c r="AE101" s="54" t="s">
        <v>217</v>
      </c>
      <c r="AF101" s="96">
        <v>25.622</v>
      </c>
      <c r="AG101" s="96">
        <v>24.414000000000001</v>
      </c>
      <c r="AH101" s="96"/>
      <c r="AI101" s="96"/>
    </row>
    <row r="102" spans="21:35" x14ac:dyDescent="0.2">
      <c r="W102" s="50">
        <v>3</v>
      </c>
      <c r="X102" s="95">
        <v>19.774000000000001</v>
      </c>
      <c r="Y102" s="95">
        <v>14.5</v>
      </c>
      <c r="Z102" s="46"/>
      <c r="AA102" s="46"/>
      <c r="AB102" s="51"/>
      <c r="AD102" t="s">
        <v>220</v>
      </c>
      <c r="AE102" s="50" t="s">
        <v>128</v>
      </c>
      <c r="AF102" s="95">
        <v>26.826000000000001</v>
      </c>
      <c r="AG102" s="95">
        <v>26.263999999999999</v>
      </c>
      <c r="AH102" s="46"/>
      <c r="AI102" s="46"/>
    </row>
    <row r="103" spans="21:35" x14ac:dyDescent="0.2">
      <c r="U103" s="52"/>
      <c r="V103" s="52"/>
      <c r="W103" s="57" t="s">
        <v>224</v>
      </c>
      <c r="X103" s="96">
        <v>14.5</v>
      </c>
      <c r="Y103" s="96">
        <v>14.5</v>
      </c>
      <c r="Z103" s="99"/>
      <c r="AA103" s="99"/>
      <c r="AB103" s="73"/>
      <c r="AC103" s="52"/>
      <c r="AD103" s="52" t="s">
        <v>225</v>
      </c>
      <c r="AE103" s="54" t="s">
        <v>226</v>
      </c>
      <c r="AF103" s="96">
        <v>27.536999999999999</v>
      </c>
      <c r="AG103" s="96">
        <v>28.437000000000001</v>
      </c>
      <c r="AH103" s="99"/>
      <c r="AI103" s="99"/>
    </row>
    <row r="104" spans="21:35" x14ac:dyDescent="0.2">
      <c r="W104" s="50" t="s">
        <v>229</v>
      </c>
      <c r="X104" s="95">
        <v>20.808</v>
      </c>
      <c r="Y104" s="95">
        <v>20.966999999999999</v>
      </c>
      <c r="Z104" s="46"/>
      <c r="AA104" s="46"/>
      <c r="AB104" s="51"/>
      <c r="AD104" t="s">
        <v>230</v>
      </c>
      <c r="AE104" s="50" t="s">
        <v>194</v>
      </c>
      <c r="AF104" s="95">
        <v>22.614999999999998</v>
      </c>
      <c r="AG104" s="95">
        <v>23.265999999999998</v>
      </c>
      <c r="AH104" s="46"/>
      <c r="AI104" s="46"/>
    </row>
    <row r="105" spans="21:35" x14ac:dyDescent="0.2">
      <c r="U105" s="52" t="s">
        <v>55</v>
      </c>
      <c r="V105" s="52" t="s">
        <v>31</v>
      </c>
      <c r="W105" s="54" t="s">
        <v>98</v>
      </c>
      <c r="X105" s="96">
        <v>25.456</v>
      </c>
      <c r="Y105" s="96">
        <v>29.053000000000001</v>
      </c>
      <c r="Z105" s="99"/>
      <c r="AA105" s="99"/>
      <c r="AB105" s="73"/>
      <c r="AC105" s="52"/>
      <c r="AD105" s="52"/>
      <c r="AE105" s="54" t="s">
        <v>234</v>
      </c>
      <c r="AF105" s="96">
        <v>21.027000000000001</v>
      </c>
      <c r="AG105" s="96">
        <v>20.411000000000001</v>
      </c>
      <c r="AH105" s="99"/>
      <c r="AI105" s="99"/>
    </row>
    <row r="106" spans="21:35" x14ac:dyDescent="0.2">
      <c r="U106" s="6"/>
      <c r="V106" t="s">
        <v>236</v>
      </c>
      <c r="W106" s="50" t="s">
        <v>237</v>
      </c>
      <c r="X106" s="95">
        <v>27.417999999999999</v>
      </c>
      <c r="Y106" s="95">
        <v>33.026000000000003</v>
      </c>
      <c r="Z106" s="46"/>
      <c r="AA106" s="46"/>
      <c r="AB106" s="51"/>
      <c r="AE106" s="50" t="s">
        <v>150</v>
      </c>
      <c r="AF106" s="95">
        <v>24.882999999999999</v>
      </c>
      <c r="AG106" s="95">
        <v>24.672000000000001</v>
      </c>
      <c r="AH106" s="46"/>
      <c r="AI106" s="46"/>
    </row>
    <row r="107" spans="21:35" x14ac:dyDescent="0.2">
      <c r="U107" s="52"/>
      <c r="V107" s="52" t="s">
        <v>240</v>
      </c>
      <c r="W107" s="54" t="s">
        <v>241</v>
      </c>
      <c r="X107" s="96">
        <v>26.626000000000001</v>
      </c>
      <c r="Y107" s="96">
        <v>30.489000000000001</v>
      </c>
      <c r="Z107" s="99"/>
      <c r="AA107" s="99"/>
      <c r="AB107" s="73"/>
      <c r="AC107" s="52"/>
      <c r="AD107" s="52"/>
      <c r="AE107" s="54" t="s">
        <v>242</v>
      </c>
      <c r="AF107" s="96">
        <v>21.625</v>
      </c>
      <c r="AG107" s="96">
        <v>21.3</v>
      </c>
      <c r="AH107" s="99"/>
      <c r="AI107" s="99"/>
    </row>
    <row r="108" spans="21:35" x14ac:dyDescent="0.2">
      <c r="V108" t="s">
        <v>244</v>
      </c>
      <c r="W108" s="50" t="s">
        <v>245</v>
      </c>
      <c r="X108" s="95">
        <v>32.179000000000002</v>
      </c>
      <c r="Y108" s="95">
        <v>22.777999999999999</v>
      </c>
      <c r="Z108" s="46"/>
      <c r="AA108" s="46"/>
      <c r="AB108" s="51"/>
      <c r="AE108" s="50" t="s">
        <v>214</v>
      </c>
      <c r="AF108" s="95">
        <v>20.916</v>
      </c>
      <c r="AG108" s="95">
        <v>22.326000000000001</v>
      </c>
      <c r="AH108" s="46"/>
      <c r="AI108" s="46"/>
    </row>
    <row r="109" spans="21:35" x14ac:dyDescent="0.2">
      <c r="U109" s="52"/>
      <c r="V109" s="52" t="s">
        <v>90</v>
      </c>
      <c r="W109" s="54" t="s">
        <v>248</v>
      </c>
      <c r="X109" s="96">
        <v>27.227</v>
      </c>
      <c r="Y109" s="96">
        <v>30.643000000000001</v>
      </c>
      <c r="Z109" s="99"/>
      <c r="AA109" s="99"/>
      <c r="AB109" s="73"/>
      <c r="AC109" s="52"/>
      <c r="AD109" s="52"/>
      <c r="AE109" s="54" t="s">
        <v>249</v>
      </c>
      <c r="AF109" s="96">
        <v>18.934000000000001</v>
      </c>
      <c r="AG109" s="96">
        <v>18.603000000000002</v>
      </c>
      <c r="AH109" s="99"/>
      <c r="AI109" s="99"/>
    </row>
    <row r="110" spans="21:35" x14ac:dyDescent="0.2">
      <c r="V110" t="s">
        <v>95</v>
      </c>
      <c r="W110" s="50" t="s">
        <v>252</v>
      </c>
      <c r="X110" s="95">
        <v>32.901000000000003</v>
      </c>
      <c r="Y110" s="95">
        <v>24.89</v>
      </c>
      <c r="Z110" s="46"/>
      <c r="AA110" s="46"/>
      <c r="AB110" s="51"/>
      <c r="AC110" t="s">
        <v>61</v>
      </c>
      <c r="AD110" t="s">
        <v>253</v>
      </c>
      <c r="AE110" s="50" t="s">
        <v>98</v>
      </c>
      <c r="AF110" s="95">
        <v>20.117999999999999</v>
      </c>
      <c r="AG110" s="95">
        <v>21.361999999999998</v>
      </c>
      <c r="AH110" s="46"/>
      <c r="AI110" s="46"/>
    </row>
    <row r="111" spans="21:35" x14ac:dyDescent="0.2">
      <c r="U111" s="52"/>
      <c r="V111" s="52"/>
      <c r="W111" s="54" t="s">
        <v>80</v>
      </c>
      <c r="X111" s="96">
        <v>22.823</v>
      </c>
      <c r="Y111" s="96">
        <v>24.529</v>
      </c>
      <c r="Z111" s="99"/>
      <c r="AA111" s="99"/>
      <c r="AB111" s="73"/>
      <c r="AC111" s="8"/>
      <c r="AD111" s="52" t="s">
        <v>255</v>
      </c>
      <c r="AE111" s="54" t="s">
        <v>256</v>
      </c>
      <c r="AF111" s="96">
        <v>29.283000000000001</v>
      </c>
      <c r="AG111" s="96">
        <v>31.225000000000001</v>
      </c>
      <c r="AH111" s="99"/>
      <c r="AI111" s="99"/>
    </row>
    <row r="112" spans="21:35" x14ac:dyDescent="0.2">
      <c r="W112" s="50" t="s">
        <v>259</v>
      </c>
      <c r="X112" s="95">
        <v>25.376000000000001</v>
      </c>
      <c r="Y112" s="95">
        <v>29.158999999999999</v>
      </c>
      <c r="Z112" s="95">
        <v>29.158999999999999</v>
      </c>
      <c r="AA112" s="95">
        <v>26.626000000000001</v>
      </c>
      <c r="AB112" s="51"/>
      <c r="AD112" t="s">
        <v>260</v>
      </c>
      <c r="AE112" s="50" t="s">
        <v>261</v>
      </c>
      <c r="AF112" s="95">
        <v>28.087</v>
      </c>
      <c r="AG112" s="95">
        <v>31.712</v>
      </c>
      <c r="AH112" s="46"/>
      <c r="AI112" s="46"/>
    </row>
    <row r="113" spans="21:35" x14ac:dyDescent="0.2">
      <c r="U113" s="52"/>
      <c r="V113" s="52"/>
      <c r="W113" s="54" t="s">
        <v>262</v>
      </c>
      <c r="X113" s="96">
        <v>22.777999999999999</v>
      </c>
      <c r="Y113" s="96">
        <v>24.539000000000001</v>
      </c>
      <c r="Z113" s="99"/>
      <c r="AA113" s="99"/>
      <c r="AB113" s="73"/>
      <c r="AC113" s="52"/>
      <c r="AD113" s="52" t="s">
        <v>263</v>
      </c>
      <c r="AE113" s="54" t="s">
        <v>264</v>
      </c>
      <c r="AF113" s="96">
        <v>30.881</v>
      </c>
      <c r="AG113" s="96">
        <v>33.936999999999998</v>
      </c>
      <c r="AH113" s="99"/>
      <c r="AI113" s="99"/>
    </row>
    <row r="114" spans="21:35" x14ac:dyDescent="0.2">
      <c r="W114" s="50" t="s">
        <v>266</v>
      </c>
      <c r="X114" s="95">
        <v>27.472999999999999</v>
      </c>
      <c r="Y114" s="95">
        <v>30.888999999999999</v>
      </c>
      <c r="Z114" s="46"/>
      <c r="AA114" s="46"/>
      <c r="AB114" s="51"/>
      <c r="AE114" s="50" t="s">
        <v>80</v>
      </c>
      <c r="AF114" s="95">
        <v>15.18</v>
      </c>
      <c r="AG114" s="95">
        <v>16.423999999999999</v>
      </c>
      <c r="AH114" s="46">
        <v>17.05</v>
      </c>
      <c r="AI114" s="46">
        <v>17.05</v>
      </c>
    </row>
    <row r="115" spans="21:35" x14ac:dyDescent="0.2">
      <c r="U115" s="52"/>
      <c r="V115" s="52"/>
      <c r="W115" s="54" t="s">
        <v>268</v>
      </c>
      <c r="X115" s="96">
        <v>24.89</v>
      </c>
      <c r="Y115" s="96">
        <v>26.024999999999999</v>
      </c>
      <c r="Z115" s="99"/>
      <c r="AA115" s="99"/>
      <c r="AB115" s="73"/>
      <c r="AC115" s="52"/>
      <c r="AD115" s="52"/>
      <c r="AE115" s="54" t="s">
        <v>269</v>
      </c>
      <c r="AF115" s="96">
        <v>24.745000000000001</v>
      </c>
      <c r="AG115" s="96">
        <v>26.286999999999999</v>
      </c>
      <c r="AH115" s="99"/>
      <c r="AI115" s="99"/>
    </row>
    <row r="116" spans="21:35" x14ac:dyDescent="0.2">
      <c r="U116" t="s">
        <v>53</v>
      </c>
      <c r="V116" t="s">
        <v>272</v>
      </c>
      <c r="W116" s="50" t="s">
        <v>185</v>
      </c>
      <c r="X116" s="95">
        <v>23.417999999999999</v>
      </c>
      <c r="Y116" s="95">
        <v>28.62</v>
      </c>
      <c r="Z116" s="95">
        <v>29.62</v>
      </c>
      <c r="AA116" s="95">
        <v>29.62</v>
      </c>
      <c r="AB116" s="51"/>
      <c r="AE116" s="50">
        <v>49</v>
      </c>
      <c r="AF116" s="95">
        <v>25.202000000000002</v>
      </c>
      <c r="AG116" s="95">
        <v>27.408999999999999</v>
      </c>
      <c r="AH116" s="46"/>
      <c r="AI116" s="46"/>
    </row>
    <row r="117" spans="21:35" x14ac:dyDescent="0.2">
      <c r="U117" s="8"/>
      <c r="V117" s="52" t="s">
        <v>276</v>
      </c>
      <c r="W117" s="54" t="s">
        <v>147</v>
      </c>
      <c r="X117" s="96">
        <v>22.3</v>
      </c>
      <c r="Y117" s="96">
        <v>26.573</v>
      </c>
      <c r="Z117" s="96">
        <v>26.899000000000001</v>
      </c>
      <c r="AA117" s="96">
        <v>26.899000000000001</v>
      </c>
      <c r="AB117" s="73"/>
      <c r="AC117" s="52" t="s">
        <v>62</v>
      </c>
      <c r="AD117" s="52" t="s">
        <v>277</v>
      </c>
      <c r="AE117" s="54" t="s">
        <v>98</v>
      </c>
      <c r="AF117" s="96">
        <v>34.679000000000002</v>
      </c>
      <c r="AG117" s="96">
        <v>40.762</v>
      </c>
      <c r="AH117" s="99"/>
      <c r="AI117" s="99"/>
    </row>
    <row r="118" spans="21:35" x14ac:dyDescent="0.2">
      <c r="V118" t="s">
        <v>279</v>
      </c>
      <c r="W118" s="50" t="s">
        <v>125</v>
      </c>
      <c r="X118" s="95">
        <v>26.236000000000001</v>
      </c>
      <c r="Y118" s="95">
        <v>30.677</v>
      </c>
      <c r="Z118" s="95">
        <v>32.180999999999997</v>
      </c>
      <c r="AA118" s="95">
        <v>32.180999999999997</v>
      </c>
      <c r="AB118" s="51"/>
      <c r="AC118" s="6"/>
      <c r="AD118" t="s">
        <v>280</v>
      </c>
      <c r="AE118" s="50" t="s">
        <v>98</v>
      </c>
      <c r="AF118" s="95">
        <v>29.213000000000001</v>
      </c>
      <c r="AG118" s="95">
        <v>34.664000000000001</v>
      </c>
      <c r="AH118" s="95"/>
      <c r="AI118" s="95"/>
    </row>
    <row r="119" spans="21:35" x14ac:dyDescent="0.2">
      <c r="U119" s="52"/>
      <c r="V119" s="52"/>
      <c r="W119" s="54" t="s">
        <v>122</v>
      </c>
      <c r="X119" s="96">
        <v>18.847999999999999</v>
      </c>
      <c r="Y119" s="96">
        <v>22.747</v>
      </c>
      <c r="Z119" s="96">
        <v>22.747</v>
      </c>
      <c r="AA119" s="96">
        <v>22.747</v>
      </c>
      <c r="AB119" s="73"/>
      <c r="AC119" s="52"/>
      <c r="AD119" s="52" t="s">
        <v>283</v>
      </c>
      <c r="AE119" s="54" t="s">
        <v>185</v>
      </c>
      <c r="AF119" s="96">
        <v>29.547000000000001</v>
      </c>
      <c r="AG119" s="96">
        <v>35.936999999999998</v>
      </c>
      <c r="AH119" s="99"/>
      <c r="AI119" s="99"/>
    </row>
    <row r="120" spans="21:35" x14ac:dyDescent="0.2">
      <c r="W120" s="50" t="s">
        <v>160</v>
      </c>
      <c r="X120" s="95">
        <v>20.861999999999998</v>
      </c>
      <c r="Y120" s="95">
        <v>24.664999999999999</v>
      </c>
      <c r="Z120" s="95">
        <v>24.673999999999999</v>
      </c>
      <c r="AA120" s="95">
        <v>24.673999999999999</v>
      </c>
      <c r="AB120" s="51"/>
      <c r="AD120" t="s">
        <v>287</v>
      </c>
      <c r="AE120" s="50" t="s">
        <v>288</v>
      </c>
      <c r="AF120" s="95">
        <v>27.405000000000001</v>
      </c>
      <c r="AG120" s="95">
        <v>33.112000000000002</v>
      </c>
      <c r="AH120" s="46"/>
      <c r="AI120" s="46"/>
    </row>
    <row r="121" spans="21:35" x14ac:dyDescent="0.2">
      <c r="U121" s="52"/>
      <c r="V121" s="52"/>
      <c r="W121" s="54" t="s">
        <v>143</v>
      </c>
      <c r="X121" s="96">
        <v>19.161000000000001</v>
      </c>
      <c r="Y121" s="96">
        <v>23.044</v>
      </c>
      <c r="Z121" s="96">
        <v>23.044</v>
      </c>
      <c r="AA121" s="96">
        <v>23.044</v>
      </c>
      <c r="AB121" s="73"/>
      <c r="AC121" s="52"/>
      <c r="AD121" s="52"/>
      <c r="AE121" s="54" t="s">
        <v>80</v>
      </c>
      <c r="AF121" s="96">
        <v>27.405000000000001</v>
      </c>
      <c r="AG121" s="96">
        <v>33.112000000000002</v>
      </c>
      <c r="AH121" s="99"/>
      <c r="AI121" s="99"/>
    </row>
    <row r="122" spans="21:35" x14ac:dyDescent="0.2">
      <c r="W122" s="50">
        <v>22</v>
      </c>
      <c r="X122" s="95">
        <v>20.234999999999999</v>
      </c>
      <c r="Y122" s="95">
        <v>24.023</v>
      </c>
      <c r="Z122" s="95">
        <v>24.023</v>
      </c>
      <c r="AA122" s="95">
        <v>24.023</v>
      </c>
      <c r="AB122" s="51"/>
      <c r="AE122" s="50" t="s">
        <v>122</v>
      </c>
      <c r="AF122" s="95">
        <v>23.885999999999999</v>
      </c>
      <c r="AG122" s="95">
        <v>29.645</v>
      </c>
      <c r="AH122" s="46"/>
      <c r="AI122" s="46"/>
    </row>
    <row r="123" spans="21:35" x14ac:dyDescent="0.2">
      <c r="U123" s="52"/>
      <c r="V123" s="52"/>
      <c r="W123" s="54" t="s">
        <v>295</v>
      </c>
      <c r="X123" s="96">
        <v>25.922999999999998</v>
      </c>
      <c r="Y123" s="96">
        <v>30.38</v>
      </c>
      <c r="Z123" s="99"/>
      <c r="AA123" s="99"/>
      <c r="AB123" s="73"/>
      <c r="AC123" s="52"/>
      <c r="AD123" s="52"/>
      <c r="AE123" s="54" t="s">
        <v>296</v>
      </c>
      <c r="AF123" s="96">
        <v>27.405000000000001</v>
      </c>
      <c r="AG123" s="96">
        <v>33.112000000000002</v>
      </c>
      <c r="AH123" s="99"/>
      <c r="AI123" s="99"/>
    </row>
    <row r="124" spans="21:35" x14ac:dyDescent="0.2">
      <c r="U124" t="s">
        <v>54</v>
      </c>
      <c r="V124" t="s">
        <v>299</v>
      </c>
      <c r="W124" s="50" t="s">
        <v>98</v>
      </c>
      <c r="X124" s="95">
        <v>29.312999999999999</v>
      </c>
      <c r="Y124" s="95">
        <v>35.404000000000003</v>
      </c>
      <c r="Z124" s="21"/>
      <c r="AA124" s="21"/>
      <c r="AB124" s="51"/>
      <c r="AE124" s="50" t="s">
        <v>300</v>
      </c>
      <c r="AF124" s="95">
        <v>23.885999999999999</v>
      </c>
      <c r="AG124" s="95">
        <v>29.645</v>
      </c>
      <c r="AH124" s="46"/>
      <c r="AI124" s="46"/>
    </row>
    <row r="125" spans="21:35" ht="13.5" thickBot="1" x14ac:dyDescent="0.25">
      <c r="U125" s="70"/>
      <c r="V125" s="70" t="s">
        <v>299</v>
      </c>
      <c r="W125" s="132" t="s">
        <v>185</v>
      </c>
      <c r="X125" s="97">
        <v>24.844999999999999</v>
      </c>
      <c r="Y125" s="97">
        <v>30.829000000000001</v>
      </c>
      <c r="Z125" s="101"/>
      <c r="AA125" s="101"/>
      <c r="AB125" s="133"/>
      <c r="AC125" s="70"/>
      <c r="AD125" s="70"/>
      <c r="AE125" s="132" t="s">
        <v>303</v>
      </c>
      <c r="AF125" s="97">
        <v>27.405000000000001</v>
      </c>
      <c r="AG125" s="97">
        <v>33.112000000000002</v>
      </c>
      <c r="AH125" s="101"/>
      <c r="AI125" s="101"/>
    </row>
  </sheetData>
  <mergeCells count="1">
    <mergeCell ref="B81:N81"/>
  </mergeCells>
  <phoneticPr fontId="38" type="noConversion"/>
  <printOptions horizontalCentered="1"/>
  <pageMargins left="0.5" right="0.5" top="0.5" bottom="0.5" header="0" footer="0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R84"/>
  <sheetViews>
    <sheetView showGridLines="0" view="pageBreakPreview" topLeftCell="A34" zoomScale="80" zoomScaleNormal="100" zoomScaleSheetLayoutView="80" workbookViewId="0">
      <selection activeCell="G59" sqref="G59"/>
    </sheetView>
  </sheetViews>
  <sheetFormatPr defaultRowHeight="12.75" x14ac:dyDescent="0.2"/>
  <cols>
    <col min="2" max="2" width="11.42578125" customWidth="1"/>
    <col min="3" max="3" width="21.5703125" customWidth="1"/>
    <col min="4" max="4" width="8.5703125" customWidth="1"/>
    <col min="5" max="6" width="10.140625" customWidth="1"/>
    <col min="7" max="7" width="13.5703125" customWidth="1"/>
    <col min="8" max="8" width="1.140625" customWidth="1"/>
    <col min="9" max="9" width="10.85546875" customWidth="1"/>
    <col min="10" max="10" width="15.5703125" customWidth="1"/>
    <col min="11" max="11" width="8.85546875" customWidth="1"/>
    <col min="12" max="13" width="10.140625" customWidth="1"/>
    <col min="14" max="14" width="14.140625" customWidth="1"/>
    <col min="16" max="16" width="9.7109375" customWidth="1"/>
  </cols>
  <sheetData>
    <row r="1" spans="2:18" ht="18" x14ac:dyDescent="0.25">
      <c r="B1" s="4" t="s">
        <v>443</v>
      </c>
    </row>
    <row r="2" spans="2:18" ht="18" x14ac:dyDescent="0.25">
      <c r="B2" s="5" t="s">
        <v>497</v>
      </c>
      <c r="G2" s="5" t="str">
        <f>'table 1 &amp; 2'!C2</f>
        <v>2022 Tax Year</v>
      </c>
    </row>
    <row r="3" spans="2:18" ht="18.75" thickBot="1" x14ac:dyDescent="0.3">
      <c r="B3" s="5"/>
    </row>
    <row r="4" spans="2:18" ht="20.25" x14ac:dyDescent="0.3">
      <c r="B4" s="103" t="s">
        <v>452</v>
      </c>
      <c r="P4" s="454" t="s">
        <v>510</v>
      </c>
      <c r="Q4" s="456" t="s">
        <v>511</v>
      </c>
      <c r="R4" s="457" t="s">
        <v>512</v>
      </c>
    </row>
    <row r="5" spans="2:18" ht="21" thickBot="1" x14ac:dyDescent="0.35">
      <c r="B5" s="103" t="s">
        <v>513</v>
      </c>
      <c r="C5" s="7"/>
      <c r="D5" s="7"/>
      <c r="E5" s="7"/>
      <c r="F5" s="7"/>
      <c r="G5" s="7"/>
      <c r="H5" s="7"/>
      <c r="I5" s="103" t="str">
        <f>G2</f>
        <v>2022 Tax Year</v>
      </c>
      <c r="J5" s="7"/>
      <c r="K5" s="7"/>
      <c r="L5" s="7"/>
      <c r="M5" s="7"/>
      <c r="N5" s="7"/>
      <c r="P5" s="462"/>
      <c r="Q5" s="460">
        <f>MIN(E9:E70,L9:L70)</f>
        <v>0</v>
      </c>
      <c r="R5" s="461">
        <f>MIN(F9:F70,M9:M70)</f>
        <v>9.5440000000000005</v>
      </c>
    </row>
    <row r="6" spans="2:18" x14ac:dyDescent="0.2">
      <c r="B6" s="7"/>
      <c r="C6" s="7"/>
      <c r="D6" s="7"/>
      <c r="E6" s="72"/>
      <c r="F6" s="72"/>
      <c r="G6" s="7"/>
      <c r="H6" s="7"/>
      <c r="I6" s="7"/>
      <c r="J6" s="7"/>
      <c r="K6" s="7"/>
      <c r="N6" s="7"/>
    </row>
    <row r="7" spans="2:18" x14ac:dyDescent="0.2">
      <c r="D7" s="50" t="s">
        <v>74</v>
      </c>
      <c r="E7" s="46"/>
      <c r="F7" s="46" t="s">
        <v>5</v>
      </c>
      <c r="G7" s="46" t="s">
        <v>30</v>
      </c>
      <c r="H7" s="49"/>
      <c r="K7" t="s">
        <v>74</v>
      </c>
      <c r="L7" s="46"/>
      <c r="M7" s="46" t="s">
        <v>5</v>
      </c>
      <c r="N7" s="46" t="s">
        <v>30</v>
      </c>
    </row>
    <row r="8" spans="2:18" ht="13.5" thickBot="1" x14ac:dyDescent="0.25">
      <c r="B8" s="47" t="s">
        <v>27</v>
      </c>
      <c r="C8" s="47" t="s">
        <v>75</v>
      </c>
      <c r="D8" s="64" t="s">
        <v>316</v>
      </c>
      <c r="E8" s="68" t="s">
        <v>9</v>
      </c>
      <c r="F8" s="68" t="s">
        <v>9</v>
      </c>
      <c r="G8" s="68" t="s">
        <v>431</v>
      </c>
      <c r="H8" s="69"/>
      <c r="I8" s="47" t="s">
        <v>27</v>
      </c>
      <c r="J8" s="47" t="s">
        <v>75</v>
      </c>
      <c r="K8" s="47" t="s">
        <v>316</v>
      </c>
      <c r="L8" s="68" t="s">
        <v>9</v>
      </c>
      <c r="M8" s="68" t="s">
        <v>9</v>
      </c>
      <c r="N8" s="68" t="s">
        <v>431</v>
      </c>
    </row>
    <row r="9" spans="2:18" x14ac:dyDescent="0.2">
      <c r="B9" s="52" t="s">
        <v>49</v>
      </c>
      <c r="C9" s="52" t="s">
        <v>306</v>
      </c>
      <c r="D9" s="54" t="s">
        <v>98</v>
      </c>
      <c r="E9" s="96">
        <v>26.029999999999998</v>
      </c>
      <c r="F9" s="96">
        <v>33.247</v>
      </c>
      <c r="G9" s="96"/>
      <c r="H9" s="73"/>
      <c r="I9" s="52" t="s">
        <v>54</v>
      </c>
      <c r="J9" s="52"/>
      <c r="K9" s="54" t="s">
        <v>80</v>
      </c>
      <c r="L9" s="96">
        <v>27.009</v>
      </c>
      <c r="M9" s="96">
        <v>33.135000000000005</v>
      </c>
      <c r="N9" s="96"/>
      <c r="O9" s="95"/>
    </row>
    <row r="10" spans="2:18" x14ac:dyDescent="0.2">
      <c r="B10" s="6"/>
      <c r="C10" s="6" t="s">
        <v>311</v>
      </c>
      <c r="D10" s="61" t="s">
        <v>312</v>
      </c>
      <c r="E10" s="130">
        <v>24.581</v>
      </c>
      <c r="F10" s="130">
        <v>31.981000000000002</v>
      </c>
      <c r="G10" s="130"/>
      <c r="H10" s="51"/>
      <c r="I10" t="s">
        <v>83</v>
      </c>
      <c r="K10" s="50" t="s">
        <v>122</v>
      </c>
      <c r="L10" s="95">
        <v>23.315000000000001</v>
      </c>
      <c r="M10" s="95">
        <v>30.456</v>
      </c>
      <c r="N10" s="95"/>
    </row>
    <row r="11" spans="2:18" x14ac:dyDescent="0.2">
      <c r="B11" s="52"/>
      <c r="C11" s="52" t="s">
        <v>314</v>
      </c>
      <c r="D11" s="54" t="s">
        <v>315</v>
      </c>
      <c r="E11" s="96">
        <v>16.707999999999998</v>
      </c>
      <c r="F11" s="96">
        <v>23.327000000000002</v>
      </c>
      <c r="G11" s="96"/>
      <c r="H11" s="73"/>
      <c r="I11" s="52"/>
      <c r="J11" s="52"/>
      <c r="K11" s="54" t="s">
        <v>81</v>
      </c>
      <c r="L11" s="96">
        <v>12.522000000000002</v>
      </c>
      <c r="M11" s="96">
        <v>18.832999999999998</v>
      </c>
      <c r="N11" s="96"/>
    </row>
    <row r="12" spans="2:18" x14ac:dyDescent="0.2">
      <c r="D12" s="50" t="s">
        <v>80</v>
      </c>
      <c r="E12" s="95">
        <v>22.689</v>
      </c>
      <c r="F12" s="95">
        <v>25.997999999999998</v>
      </c>
      <c r="G12" s="95"/>
      <c r="H12" s="51"/>
      <c r="K12" s="50">
        <v>50</v>
      </c>
      <c r="L12" s="95">
        <v>16.524999999999999</v>
      </c>
      <c r="M12" s="95">
        <v>24.567999999999998</v>
      </c>
      <c r="N12" s="95"/>
    </row>
    <row r="13" spans="2:18" x14ac:dyDescent="0.2">
      <c r="B13" s="52"/>
      <c r="C13" s="52"/>
      <c r="D13" s="54" t="s">
        <v>85</v>
      </c>
      <c r="E13" s="96">
        <v>19.18</v>
      </c>
      <c r="F13" s="96">
        <v>24.331</v>
      </c>
      <c r="G13" s="96"/>
      <c r="H13" s="73"/>
      <c r="I13" s="52" t="s">
        <v>56</v>
      </c>
      <c r="J13" s="52" t="s">
        <v>56</v>
      </c>
      <c r="K13" s="54" t="s">
        <v>89</v>
      </c>
      <c r="L13" s="96">
        <v>23.717000000000002</v>
      </c>
      <c r="M13" s="96">
        <v>32.672000000000004</v>
      </c>
      <c r="N13" s="96"/>
    </row>
    <row r="14" spans="2:18" x14ac:dyDescent="0.2">
      <c r="D14" s="50" t="s">
        <v>88</v>
      </c>
      <c r="E14" s="95">
        <v>23.378</v>
      </c>
      <c r="F14" s="95">
        <v>27.621000000000002</v>
      </c>
      <c r="G14" s="95"/>
      <c r="H14" s="51"/>
      <c r="J14" t="s">
        <v>93</v>
      </c>
      <c r="K14" s="50" t="s">
        <v>94</v>
      </c>
      <c r="L14" s="95">
        <v>21.385000000000002</v>
      </c>
      <c r="M14" s="95">
        <v>31.672999999999998</v>
      </c>
      <c r="N14" s="95"/>
    </row>
    <row r="15" spans="2:18" x14ac:dyDescent="0.2">
      <c r="B15" s="52"/>
      <c r="C15" s="52"/>
      <c r="D15" s="54">
        <v>16</v>
      </c>
      <c r="E15" s="96">
        <v>26.843</v>
      </c>
      <c r="F15" s="96">
        <v>31.995000000000001</v>
      </c>
      <c r="G15" s="96"/>
      <c r="H15" s="73"/>
      <c r="I15" s="52"/>
      <c r="J15" s="52" t="s">
        <v>100</v>
      </c>
      <c r="K15" s="54" t="s">
        <v>101</v>
      </c>
      <c r="L15" s="96">
        <v>25.561</v>
      </c>
      <c r="M15" s="96">
        <v>32.186999999999998</v>
      </c>
      <c r="N15" s="96"/>
    </row>
    <row r="16" spans="2:18" x14ac:dyDescent="0.2">
      <c r="B16" t="s">
        <v>50</v>
      </c>
      <c r="C16" t="s">
        <v>99</v>
      </c>
      <c r="D16" s="50" t="s">
        <v>98</v>
      </c>
      <c r="E16" s="95">
        <v>25.268000000000001</v>
      </c>
      <c r="F16" s="95">
        <v>33.466999999999999</v>
      </c>
      <c r="G16" s="95"/>
      <c r="H16" s="51"/>
      <c r="J16" t="s">
        <v>100</v>
      </c>
      <c r="K16" t="s">
        <v>549</v>
      </c>
      <c r="L16" s="46">
        <v>23.299999999999997</v>
      </c>
      <c r="M16" s="46">
        <v>29.925999999999998</v>
      </c>
    </row>
    <row r="17" spans="2:14" x14ac:dyDescent="0.2">
      <c r="B17" s="8"/>
      <c r="C17" s="52" t="s">
        <v>105</v>
      </c>
      <c r="D17" s="54" t="s">
        <v>106</v>
      </c>
      <c r="E17" s="96">
        <v>27.383999999999997</v>
      </c>
      <c r="F17" s="96">
        <v>25.975999999999999</v>
      </c>
      <c r="G17" s="96"/>
      <c r="H17" s="73"/>
      <c r="I17" s="8"/>
      <c r="J17" s="52"/>
      <c r="K17" s="54" t="s">
        <v>107</v>
      </c>
      <c r="L17" s="96">
        <v>25.271000000000004</v>
      </c>
      <c r="M17" s="96">
        <v>32.566000000000003</v>
      </c>
      <c r="N17" s="96"/>
    </row>
    <row r="18" spans="2:14" x14ac:dyDescent="0.2">
      <c r="C18" t="s">
        <v>111</v>
      </c>
      <c r="D18" s="50" t="s">
        <v>112</v>
      </c>
      <c r="E18" s="95">
        <v>29.931999999999999</v>
      </c>
      <c r="F18" s="95">
        <v>26.277999999999999</v>
      </c>
      <c r="G18" s="95"/>
      <c r="H18" s="51"/>
      <c r="K18" s="50">
        <v>1</v>
      </c>
      <c r="L18" s="95">
        <v>22.459999999999997</v>
      </c>
      <c r="M18" s="95">
        <v>29.012</v>
      </c>
      <c r="N18" s="95"/>
    </row>
    <row r="19" spans="2:14" x14ac:dyDescent="0.2">
      <c r="B19" s="52"/>
      <c r="C19" s="52" t="s">
        <v>116</v>
      </c>
      <c r="D19" s="54" t="s">
        <v>117</v>
      </c>
      <c r="E19" s="96">
        <v>25.811</v>
      </c>
      <c r="F19" s="96">
        <v>28.459</v>
      </c>
      <c r="G19" s="96"/>
      <c r="H19" s="73"/>
      <c r="I19" s="8"/>
      <c r="J19" s="52"/>
      <c r="K19" s="54" t="s">
        <v>108</v>
      </c>
      <c r="L19" s="96">
        <v>20.506</v>
      </c>
      <c r="M19" s="96">
        <v>26.926000000000002</v>
      </c>
      <c r="N19" s="96"/>
    </row>
    <row r="20" spans="2:14" x14ac:dyDescent="0.2">
      <c r="D20" s="50" t="s">
        <v>80</v>
      </c>
      <c r="E20" s="95">
        <v>24.427999999999997</v>
      </c>
      <c r="F20" s="95">
        <v>25.817</v>
      </c>
      <c r="G20" s="95"/>
      <c r="H20" s="51"/>
      <c r="K20" s="50" t="s">
        <v>120</v>
      </c>
      <c r="L20" s="95">
        <v>17.765000000000001</v>
      </c>
      <c r="M20" s="95">
        <v>24.115000000000002</v>
      </c>
      <c r="N20" s="95"/>
    </row>
    <row r="21" spans="2:14" x14ac:dyDescent="0.2">
      <c r="B21" s="52"/>
      <c r="C21" s="52"/>
      <c r="D21" s="54" t="s">
        <v>123</v>
      </c>
      <c r="E21" s="96">
        <v>26.534999999999997</v>
      </c>
      <c r="F21" s="96">
        <v>24.895999999999997</v>
      </c>
      <c r="G21" s="96"/>
      <c r="H21" s="73"/>
      <c r="I21" s="8" t="s">
        <v>57</v>
      </c>
      <c r="J21" s="52" t="s">
        <v>124</v>
      </c>
      <c r="K21" s="54" t="s">
        <v>125</v>
      </c>
      <c r="L21" s="96">
        <v>24.231999999999999</v>
      </c>
      <c r="M21" s="96">
        <v>26.086000000000002</v>
      </c>
      <c r="N21" s="96"/>
    </row>
    <row r="22" spans="2:14" x14ac:dyDescent="0.2">
      <c r="D22" s="50" t="s">
        <v>129</v>
      </c>
      <c r="E22" s="95">
        <v>25.35</v>
      </c>
      <c r="F22" s="95">
        <v>25.317999999999998</v>
      </c>
      <c r="G22" s="95"/>
      <c r="H22" s="51"/>
      <c r="J22" t="s">
        <v>130</v>
      </c>
      <c r="K22" s="50" t="s">
        <v>131</v>
      </c>
      <c r="L22" s="95">
        <v>24.407999999999998</v>
      </c>
      <c r="M22" s="95">
        <v>26.085999999999999</v>
      </c>
      <c r="N22" s="95"/>
    </row>
    <row r="23" spans="2:14" x14ac:dyDescent="0.2">
      <c r="B23" s="52"/>
      <c r="C23" s="52"/>
      <c r="D23" s="54" t="s">
        <v>135</v>
      </c>
      <c r="E23" s="96">
        <v>20.765999999999998</v>
      </c>
      <c r="F23" s="96">
        <v>20.808999999999997</v>
      </c>
      <c r="G23" s="96"/>
      <c r="H23" s="73"/>
      <c r="I23" s="8"/>
      <c r="J23" s="52" t="s">
        <v>136</v>
      </c>
      <c r="K23" s="54" t="s">
        <v>137</v>
      </c>
      <c r="L23" s="96">
        <v>26.898999999999997</v>
      </c>
      <c r="M23" s="96">
        <v>28.086000000000002</v>
      </c>
      <c r="N23" s="96"/>
    </row>
    <row r="24" spans="2:14" x14ac:dyDescent="0.2">
      <c r="D24" s="50" t="s">
        <v>142</v>
      </c>
      <c r="E24" s="95">
        <v>19.335999999999999</v>
      </c>
      <c r="F24" s="95">
        <v>22.203000000000003</v>
      </c>
      <c r="G24" s="95"/>
      <c r="H24" s="51"/>
      <c r="K24" s="50" t="s">
        <v>143</v>
      </c>
      <c r="L24" s="95">
        <v>28.687999999999999</v>
      </c>
      <c r="M24" s="95">
        <v>29.860999999999997</v>
      </c>
      <c r="N24" s="95"/>
    </row>
    <row r="25" spans="2:14" x14ac:dyDescent="0.2">
      <c r="B25" s="52"/>
      <c r="C25" s="52"/>
      <c r="D25" s="54">
        <v>33</v>
      </c>
      <c r="E25" s="96">
        <v>22.490000000000002</v>
      </c>
      <c r="F25" s="96">
        <v>22.457999999999998</v>
      </c>
      <c r="G25" s="96">
        <v>21</v>
      </c>
      <c r="H25" s="73"/>
      <c r="I25" s="8" t="s">
        <v>58</v>
      </c>
      <c r="J25" s="52" t="s">
        <v>58</v>
      </c>
      <c r="K25" s="54" t="s">
        <v>98</v>
      </c>
      <c r="L25" s="96">
        <v>38.590000000000003</v>
      </c>
      <c r="M25" s="96">
        <v>42.218999999999994</v>
      </c>
      <c r="N25" s="96"/>
    </row>
    <row r="26" spans="2:14" x14ac:dyDescent="0.2">
      <c r="D26" s="50">
        <v>53</v>
      </c>
      <c r="E26" s="95">
        <v>19.520999999999997</v>
      </c>
      <c r="F26" s="95">
        <v>19.548999999999999</v>
      </c>
      <c r="G26" s="95"/>
      <c r="H26" s="51"/>
      <c r="J26" t="s">
        <v>151</v>
      </c>
      <c r="K26" s="50" t="s">
        <v>152</v>
      </c>
      <c r="L26" s="95">
        <v>28.865000000000002</v>
      </c>
      <c r="M26" s="95">
        <v>32.390999999999998</v>
      </c>
      <c r="N26" s="95"/>
    </row>
    <row r="27" spans="2:14" x14ac:dyDescent="0.2">
      <c r="B27" s="52" t="s">
        <v>51</v>
      </c>
      <c r="C27" s="52" t="s">
        <v>155</v>
      </c>
      <c r="D27" s="54" t="s">
        <v>106</v>
      </c>
      <c r="E27" s="96">
        <v>25.835000000000001</v>
      </c>
      <c r="F27" s="96">
        <v>31.358999999999998</v>
      </c>
      <c r="G27" s="96"/>
      <c r="H27" s="73"/>
      <c r="I27" s="8"/>
      <c r="J27" s="52"/>
      <c r="K27" s="54" t="s">
        <v>80</v>
      </c>
      <c r="L27" s="96">
        <v>35.06</v>
      </c>
      <c r="M27" s="96">
        <v>38.472999999999999</v>
      </c>
      <c r="N27" s="96"/>
    </row>
    <row r="28" spans="2:14" x14ac:dyDescent="0.2">
      <c r="B28" s="6"/>
      <c r="C28" t="s">
        <v>93</v>
      </c>
      <c r="D28" s="50" t="s">
        <v>573</v>
      </c>
      <c r="E28" s="95">
        <v>27.46</v>
      </c>
      <c r="F28" s="95">
        <v>37.78</v>
      </c>
      <c r="G28" s="95"/>
      <c r="H28" s="51"/>
      <c r="K28" s="50" t="s">
        <v>158</v>
      </c>
      <c r="L28" s="95">
        <v>29.042000000000002</v>
      </c>
      <c r="M28" s="95">
        <v>31.42</v>
      </c>
      <c r="N28" s="95"/>
    </row>
    <row r="29" spans="2:14" x14ac:dyDescent="0.2">
      <c r="B29" s="52"/>
      <c r="C29" s="52"/>
      <c r="D29" s="54" t="s">
        <v>123</v>
      </c>
      <c r="E29" s="96">
        <v>22.456000000000003</v>
      </c>
      <c r="F29" s="96">
        <v>27.564</v>
      </c>
      <c r="G29" s="96"/>
      <c r="H29" s="73"/>
      <c r="I29" s="8"/>
      <c r="J29" s="52"/>
      <c r="K29" s="54">
        <v>5</v>
      </c>
      <c r="L29" s="96">
        <v>38.024000000000001</v>
      </c>
      <c r="M29" s="96">
        <v>41.537999999999997</v>
      </c>
      <c r="N29" s="96"/>
    </row>
    <row r="30" spans="2:14" x14ac:dyDescent="0.2">
      <c r="D30" s="50" t="s">
        <v>163</v>
      </c>
      <c r="E30" s="95">
        <v>20.213999999999999</v>
      </c>
      <c r="F30" s="95">
        <v>27.012</v>
      </c>
      <c r="G30" s="95">
        <v>25.228000000000002</v>
      </c>
      <c r="H30" s="51"/>
      <c r="K30" s="50" t="s">
        <v>164</v>
      </c>
      <c r="L30" s="95">
        <v>26.055</v>
      </c>
      <c r="M30" s="95">
        <v>28.210999999999999</v>
      </c>
      <c r="N30" s="95"/>
    </row>
    <row r="31" spans="2:14" x14ac:dyDescent="0.2">
      <c r="B31" s="52"/>
      <c r="C31" s="52"/>
      <c r="D31" s="54" t="s">
        <v>574</v>
      </c>
      <c r="E31" s="96">
        <v>24.840000000000003</v>
      </c>
      <c r="F31" s="96">
        <v>31.222000000000001</v>
      </c>
      <c r="G31" s="96"/>
      <c r="H31" s="73"/>
      <c r="I31" s="8"/>
      <c r="J31" s="52"/>
      <c r="K31" s="54" t="s">
        <v>168</v>
      </c>
      <c r="L31" s="96">
        <v>21.883000000000003</v>
      </c>
      <c r="M31" s="96">
        <v>23.854999999999997</v>
      </c>
      <c r="N31" s="96"/>
    </row>
    <row r="32" spans="2:14" x14ac:dyDescent="0.2">
      <c r="D32" s="50">
        <v>53</v>
      </c>
      <c r="E32" s="95">
        <v>18.331</v>
      </c>
      <c r="F32" s="95">
        <v>24.811999999999998</v>
      </c>
      <c r="G32" s="95">
        <v>23.097999999999999</v>
      </c>
      <c r="H32" s="51"/>
      <c r="K32" s="50" t="s">
        <v>171</v>
      </c>
      <c r="L32" s="95">
        <v>25.352</v>
      </c>
      <c r="M32" s="95">
        <v>33.69</v>
      </c>
      <c r="N32" s="95"/>
    </row>
    <row r="33" spans="2:14" x14ac:dyDescent="0.2">
      <c r="B33" s="52"/>
      <c r="C33" s="52"/>
      <c r="D33" s="54" t="s">
        <v>173</v>
      </c>
      <c r="E33" s="96">
        <v>23.983999999999998</v>
      </c>
      <c r="F33" s="96">
        <v>30.114000000000001</v>
      </c>
      <c r="G33" s="96"/>
      <c r="H33" s="73"/>
      <c r="I33" s="8" t="s">
        <v>59</v>
      </c>
      <c r="J33" s="52" t="s">
        <v>59</v>
      </c>
      <c r="K33" s="54" t="s">
        <v>98</v>
      </c>
      <c r="L33" s="96">
        <v>30.512999999999995</v>
      </c>
      <c r="M33" s="96">
        <v>37.660000000000004</v>
      </c>
      <c r="N33" s="96"/>
    </row>
    <row r="34" spans="2:14" x14ac:dyDescent="0.2">
      <c r="D34" s="50">
        <v>32</v>
      </c>
      <c r="E34" s="95">
        <v>20.699000000000002</v>
      </c>
      <c r="F34" s="95">
        <v>38.927999999999997</v>
      </c>
      <c r="G34" s="95"/>
      <c r="H34" s="51"/>
      <c r="J34" t="s">
        <v>175</v>
      </c>
      <c r="K34" s="50" t="s">
        <v>176</v>
      </c>
      <c r="L34" s="95">
        <v>20.004000000000001</v>
      </c>
      <c r="M34" s="95">
        <v>25.700000000000003</v>
      </c>
      <c r="N34" s="95"/>
    </row>
    <row r="35" spans="2:14" x14ac:dyDescent="0.2">
      <c r="B35" s="52" t="s">
        <v>52</v>
      </c>
      <c r="C35" s="52" t="s">
        <v>178</v>
      </c>
      <c r="D35" s="54" t="s">
        <v>98</v>
      </c>
      <c r="E35" s="96">
        <v>24.381999999999998</v>
      </c>
      <c r="F35" s="96">
        <v>26.123000000000001</v>
      </c>
      <c r="G35" s="96"/>
      <c r="H35" s="73"/>
      <c r="I35" s="8"/>
      <c r="J35" s="52" t="s">
        <v>179</v>
      </c>
      <c r="K35" s="54" t="s">
        <v>180</v>
      </c>
      <c r="L35" s="96">
        <v>24.87</v>
      </c>
      <c r="M35" s="96">
        <v>30.722999999999999</v>
      </c>
      <c r="N35" s="96"/>
    </row>
    <row r="36" spans="2:14" x14ac:dyDescent="0.2">
      <c r="B36" s="6"/>
      <c r="C36" t="s">
        <v>184</v>
      </c>
      <c r="D36" s="50" t="s">
        <v>185</v>
      </c>
      <c r="E36" s="95">
        <v>15.845999999999998</v>
      </c>
      <c r="F36" s="95">
        <v>17.515000000000001</v>
      </c>
      <c r="G36" s="95"/>
      <c r="H36" s="51"/>
      <c r="J36" t="s">
        <v>186</v>
      </c>
      <c r="K36" s="50" t="s">
        <v>187</v>
      </c>
      <c r="L36" s="95">
        <v>24.510999999999999</v>
      </c>
      <c r="M36" s="95">
        <v>30.3</v>
      </c>
      <c r="N36" s="95"/>
    </row>
    <row r="37" spans="2:14" x14ac:dyDescent="0.2">
      <c r="B37" s="52"/>
      <c r="C37" s="52" t="s">
        <v>191</v>
      </c>
      <c r="D37" s="54" t="s">
        <v>147</v>
      </c>
      <c r="E37" s="96">
        <v>15.925999999999998</v>
      </c>
      <c r="F37" s="96">
        <v>17.926000000000002</v>
      </c>
      <c r="G37" s="96"/>
      <c r="H37" s="73"/>
      <c r="I37" s="8"/>
      <c r="J37" s="52"/>
      <c r="K37" s="54" t="s">
        <v>80</v>
      </c>
      <c r="L37" s="96">
        <v>16.975999999999999</v>
      </c>
      <c r="M37" s="96">
        <v>22.65</v>
      </c>
      <c r="N37" s="96"/>
    </row>
    <row r="38" spans="2:14" x14ac:dyDescent="0.2">
      <c r="C38" t="s">
        <v>195</v>
      </c>
      <c r="D38" s="50" t="s">
        <v>196</v>
      </c>
      <c r="E38" s="95">
        <v>21.265000000000001</v>
      </c>
      <c r="F38" s="95">
        <v>23.417000000000002</v>
      </c>
      <c r="G38" s="95"/>
      <c r="H38" s="51"/>
      <c r="K38" s="50" t="s">
        <v>197</v>
      </c>
      <c r="L38" s="95">
        <v>16.975999999999999</v>
      </c>
      <c r="M38" s="95">
        <v>22.65</v>
      </c>
      <c r="N38" s="95"/>
    </row>
    <row r="39" spans="2:14" x14ac:dyDescent="0.2">
      <c r="B39" s="52"/>
      <c r="C39" s="52" t="s">
        <v>201</v>
      </c>
      <c r="D39" s="54" t="s">
        <v>202</v>
      </c>
      <c r="E39" s="96">
        <v>21.437999999999999</v>
      </c>
      <c r="F39" s="96">
        <v>23.416999999999998</v>
      </c>
      <c r="G39" s="96"/>
      <c r="H39" s="73"/>
      <c r="I39" s="8"/>
      <c r="J39" s="52"/>
      <c r="K39" s="54">
        <v>4</v>
      </c>
      <c r="L39" s="96">
        <v>16.216000000000001</v>
      </c>
      <c r="M39" s="96">
        <v>21.122</v>
      </c>
      <c r="N39" s="96"/>
    </row>
    <row r="40" spans="2:14" x14ac:dyDescent="0.2">
      <c r="D40" s="50" t="s">
        <v>80</v>
      </c>
      <c r="E40" s="95">
        <v>21.585999999999999</v>
      </c>
      <c r="F40" s="95">
        <v>22.931000000000001</v>
      </c>
      <c r="G40" s="95"/>
      <c r="H40" s="51"/>
      <c r="K40" s="50">
        <v>6</v>
      </c>
      <c r="L40" s="95">
        <v>18.501000000000001</v>
      </c>
      <c r="M40" s="95">
        <v>23.942</v>
      </c>
      <c r="N40" s="95"/>
    </row>
    <row r="41" spans="2:14" x14ac:dyDescent="0.2">
      <c r="B41" s="52"/>
      <c r="C41" s="52"/>
      <c r="D41" s="54" t="s">
        <v>122</v>
      </c>
      <c r="E41" s="96">
        <v>14.312999999999999</v>
      </c>
      <c r="F41" s="96">
        <v>15.699</v>
      </c>
      <c r="G41" s="96">
        <v>15.709999999999999</v>
      </c>
      <c r="H41" s="73"/>
      <c r="I41" s="8"/>
      <c r="J41" s="52"/>
      <c r="K41" s="54" t="s">
        <v>207</v>
      </c>
      <c r="L41" s="96">
        <v>16.583000000000002</v>
      </c>
      <c r="M41" s="96">
        <v>21.262</v>
      </c>
      <c r="N41" s="96"/>
    </row>
    <row r="42" spans="2:14" x14ac:dyDescent="0.2">
      <c r="D42" s="50" t="s">
        <v>160</v>
      </c>
      <c r="E42" s="95">
        <v>14.392999999999999</v>
      </c>
      <c r="F42" s="95">
        <v>15.701000000000001</v>
      </c>
      <c r="G42" s="95">
        <v>15.71</v>
      </c>
      <c r="H42" s="51"/>
      <c r="I42" t="s">
        <v>60</v>
      </c>
      <c r="J42" t="s">
        <v>210</v>
      </c>
      <c r="K42" s="50" t="s">
        <v>211</v>
      </c>
      <c r="L42" s="95">
        <v>22.643000000000001</v>
      </c>
      <c r="M42" s="95">
        <v>11.327</v>
      </c>
      <c r="N42" s="95"/>
    </row>
    <row r="43" spans="2:14" x14ac:dyDescent="0.2">
      <c r="B43" s="52"/>
      <c r="C43" s="52"/>
      <c r="D43" s="54" t="s">
        <v>215</v>
      </c>
      <c r="E43" s="96">
        <v>19.881</v>
      </c>
      <c r="F43" s="96">
        <v>21.192</v>
      </c>
      <c r="G43" s="96">
        <v>21.192</v>
      </c>
      <c r="H43" s="73"/>
      <c r="I43" s="8"/>
      <c r="J43" s="52" t="s">
        <v>216</v>
      </c>
      <c r="K43" s="54" t="s">
        <v>217</v>
      </c>
      <c r="L43" s="96">
        <v>26.552</v>
      </c>
      <c r="M43" s="96">
        <v>21.427</v>
      </c>
      <c r="N43" s="96"/>
    </row>
    <row r="44" spans="2:14" x14ac:dyDescent="0.2">
      <c r="D44" s="50">
        <v>3</v>
      </c>
      <c r="E44" s="95">
        <v>21.535999999999998</v>
      </c>
      <c r="F44" s="95">
        <v>22.864999999999998</v>
      </c>
      <c r="G44" s="95"/>
      <c r="H44" s="51"/>
      <c r="J44" t="s">
        <v>220</v>
      </c>
      <c r="K44" s="50" t="s">
        <v>128</v>
      </c>
      <c r="L44" s="95">
        <v>17.87</v>
      </c>
      <c r="M44" s="95">
        <v>26.985999999999997</v>
      </c>
      <c r="N44" s="95"/>
    </row>
    <row r="45" spans="2:14" x14ac:dyDescent="0.2">
      <c r="B45" s="52"/>
      <c r="C45" s="52"/>
      <c r="D45" s="57" t="s">
        <v>224</v>
      </c>
      <c r="E45" s="96">
        <v>18.242999999999999</v>
      </c>
      <c r="F45" s="96">
        <v>19.548999999999999</v>
      </c>
      <c r="G45" s="96"/>
      <c r="H45" s="73"/>
      <c r="I45" s="8"/>
      <c r="J45" s="52" t="s">
        <v>225</v>
      </c>
      <c r="K45" s="54" t="s">
        <v>226</v>
      </c>
      <c r="L45" s="96">
        <v>24.161000000000001</v>
      </c>
      <c r="M45" s="96">
        <v>28.044</v>
      </c>
      <c r="N45" s="96"/>
    </row>
    <row r="46" spans="2:14" x14ac:dyDescent="0.2">
      <c r="D46" s="50" t="s">
        <v>229</v>
      </c>
      <c r="E46" s="95">
        <v>20.896999999999998</v>
      </c>
      <c r="F46" s="95">
        <v>22.036000000000001</v>
      </c>
      <c r="G46" s="95"/>
      <c r="H46" s="51"/>
      <c r="J46" t="s">
        <v>230</v>
      </c>
      <c r="K46" s="50" t="s">
        <v>194</v>
      </c>
      <c r="L46" s="95">
        <v>21.8</v>
      </c>
      <c r="M46" s="95">
        <v>21.024999999999999</v>
      </c>
      <c r="N46" s="95"/>
    </row>
    <row r="47" spans="2:14" x14ac:dyDescent="0.2">
      <c r="B47" s="52" t="s">
        <v>55</v>
      </c>
      <c r="C47" s="52" t="s">
        <v>31</v>
      </c>
      <c r="D47" s="54" t="s">
        <v>98</v>
      </c>
      <c r="E47" s="96">
        <v>35.223000000000006</v>
      </c>
      <c r="F47" s="96">
        <v>43.666000000000004</v>
      </c>
      <c r="G47" s="96"/>
      <c r="H47" s="73"/>
      <c r="I47" s="8"/>
      <c r="J47" s="52"/>
      <c r="K47" s="54" t="s">
        <v>234</v>
      </c>
      <c r="L47" s="96">
        <v>24.479999999999997</v>
      </c>
      <c r="M47" s="96">
        <v>10.577</v>
      </c>
      <c r="N47" s="96"/>
    </row>
    <row r="48" spans="2:14" x14ac:dyDescent="0.2">
      <c r="B48" s="6"/>
      <c r="C48" t="s">
        <v>236</v>
      </c>
      <c r="D48" s="50" t="s">
        <v>237</v>
      </c>
      <c r="E48" s="95">
        <v>27.224000000000004</v>
      </c>
      <c r="F48" s="95">
        <v>35.582000000000001</v>
      </c>
      <c r="G48" s="95"/>
      <c r="H48" s="51"/>
      <c r="K48" s="50" t="s">
        <v>150</v>
      </c>
      <c r="L48" s="95">
        <v>39.126999999999995</v>
      </c>
      <c r="M48" s="95">
        <v>79.328000000000003</v>
      </c>
      <c r="N48" s="95"/>
    </row>
    <row r="49" spans="2:14" x14ac:dyDescent="0.2">
      <c r="B49" s="52"/>
      <c r="C49" s="52" t="s">
        <v>240</v>
      </c>
      <c r="D49" s="54" t="s">
        <v>241</v>
      </c>
      <c r="E49" s="96">
        <v>26.344000000000001</v>
      </c>
      <c r="F49" s="96">
        <v>32.759</v>
      </c>
      <c r="G49" s="96"/>
      <c r="H49" s="73"/>
      <c r="I49" s="8"/>
      <c r="J49" s="52"/>
      <c r="K49" s="54" t="s">
        <v>242</v>
      </c>
      <c r="L49" s="96">
        <v>21.360999999999997</v>
      </c>
      <c r="M49" s="96">
        <v>9.5440000000000005</v>
      </c>
      <c r="N49" s="96"/>
    </row>
    <row r="50" spans="2:14" x14ac:dyDescent="0.2">
      <c r="C50" t="s">
        <v>244</v>
      </c>
      <c r="D50" s="50" t="s">
        <v>245</v>
      </c>
      <c r="E50" s="95">
        <v>29.195</v>
      </c>
      <c r="F50" s="95">
        <v>33.698999999999998</v>
      </c>
      <c r="G50" s="95"/>
      <c r="H50" s="51"/>
      <c r="K50" s="50" t="s">
        <v>214</v>
      </c>
      <c r="L50" s="95">
        <v>20.867000000000001</v>
      </c>
      <c r="M50" s="95">
        <v>17.689</v>
      </c>
      <c r="N50" s="95"/>
    </row>
    <row r="51" spans="2:14" x14ac:dyDescent="0.2">
      <c r="B51" s="52"/>
      <c r="C51" s="52" t="s">
        <v>90</v>
      </c>
      <c r="D51" s="54" t="s">
        <v>248</v>
      </c>
      <c r="E51" s="96">
        <v>37.624000000000002</v>
      </c>
      <c r="F51" s="96">
        <v>47.217000000000006</v>
      </c>
      <c r="G51" s="96"/>
      <c r="H51" s="73"/>
      <c r="I51" s="8"/>
      <c r="J51" s="52"/>
      <c r="K51" s="54" t="s">
        <v>249</v>
      </c>
      <c r="L51" s="96">
        <v>16.391999999999999</v>
      </c>
      <c r="M51" s="96">
        <v>16.391999999999999</v>
      </c>
      <c r="N51" s="96"/>
    </row>
    <row r="52" spans="2:14" x14ac:dyDescent="0.2">
      <c r="C52" t="s">
        <v>95</v>
      </c>
      <c r="D52" s="50" t="s">
        <v>252</v>
      </c>
      <c r="E52" s="95">
        <v>36.550999999999995</v>
      </c>
      <c r="F52" s="95">
        <v>41.705000000000005</v>
      </c>
      <c r="G52" s="95"/>
      <c r="H52" s="51"/>
      <c r="I52" t="s">
        <v>61</v>
      </c>
      <c r="J52" t="s">
        <v>253</v>
      </c>
      <c r="K52" s="50" t="s">
        <v>98</v>
      </c>
      <c r="L52" s="95">
        <v>24.814999999999998</v>
      </c>
      <c r="M52" s="95">
        <v>27.148999999999997</v>
      </c>
      <c r="N52" s="95"/>
    </row>
    <row r="53" spans="2:14" x14ac:dyDescent="0.2">
      <c r="B53" s="52"/>
      <c r="C53" s="52" t="s">
        <v>100</v>
      </c>
      <c r="D53" s="54" t="s">
        <v>80</v>
      </c>
      <c r="E53" s="96">
        <v>0</v>
      </c>
      <c r="F53" s="96">
        <v>29.256</v>
      </c>
      <c r="G53" s="96"/>
      <c r="H53" s="73"/>
      <c r="I53" s="8"/>
      <c r="J53" s="52" t="s">
        <v>255</v>
      </c>
      <c r="K53" s="54" t="s">
        <v>256</v>
      </c>
      <c r="L53" s="96">
        <v>27.481999999999999</v>
      </c>
      <c r="M53" s="96">
        <v>31.01</v>
      </c>
      <c r="N53" s="96"/>
    </row>
    <row r="54" spans="2:14" x14ac:dyDescent="0.2">
      <c r="C54" t="s">
        <v>548</v>
      </c>
      <c r="D54" s="50" t="s">
        <v>80</v>
      </c>
      <c r="E54" s="95">
        <v>32.027000000000001</v>
      </c>
      <c r="F54" s="95">
        <v>37.86</v>
      </c>
      <c r="G54" s="95"/>
      <c r="H54" s="51"/>
      <c r="J54" t="s">
        <v>260</v>
      </c>
      <c r="K54" s="50" t="s">
        <v>261</v>
      </c>
      <c r="L54" s="95">
        <v>26.91</v>
      </c>
      <c r="M54" s="95">
        <v>31.497</v>
      </c>
      <c r="N54" s="95"/>
    </row>
    <row r="55" spans="2:14" x14ac:dyDescent="0.2">
      <c r="B55" s="52"/>
      <c r="C55" s="52"/>
      <c r="D55" s="54" t="s">
        <v>259</v>
      </c>
      <c r="E55" s="96">
        <v>23.561999999999998</v>
      </c>
      <c r="F55" s="96">
        <v>28.011000000000003</v>
      </c>
      <c r="G55" s="96">
        <v>27.018999999999998</v>
      </c>
      <c r="H55" s="73"/>
      <c r="I55" s="8"/>
      <c r="J55" s="52" t="s">
        <v>263</v>
      </c>
      <c r="K55" s="54" t="s">
        <v>264</v>
      </c>
      <c r="L55" s="96">
        <v>30.661000000000001</v>
      </c>
      <c r="M55" s="96">
        <v>33.721999999999994</v>
      </c>
      <c r="N55" s="96"/>
    </row>
    <row r="56" spans="2:14" x14ac:dyDescent="0.2">
      <c r="D56" s="50" t="s">
        <v>262</v>
      </c>
      <c r="E56" s="95">
        <v>22.417999999999999</v>
      </c>
      <c r="F56" s="95">
        <v>26.808999999999997</v>
      </c>
      <c r="G56" s="95"/>
      <c r="H56" s="51"/>
      <c r="K56" s="50" t="s">
        <v>80</v>
      </c>
      <c r="L56" s="95">
        <v>21.004999999999999</v>
      </c>
      <c r="M56" s="95">
        <v>23.210999999999999</v>
      </c>
      <c r="N56" s="95">
        <v>22.211000000000002</v>
      </c>
    </row>
    <row r="57" spans="2:14" x14ac:dyDescent="0.2">
      <c r="B57" s="52"/>
      <c r="C57" s="52" t="s">
        <v>572</v>
      </c>
      <c r="D57" s="54" t="s">
        <v>266</v>
      </c>
      <c r="E57" s="96">
        <v>38.177000000000007</v>
      </c>
      <c r="F57" s="96">
        <v>47.77</v>
      </c>
      <c r="G57" s="96"/>
      <c r="H57" s="73"/>
      <c r="I57" s="8"/>
      <c r="J57" s="52"/>
      <c r="K57" s="54" t="s">
        <v>269</v>
      </c>
      <c r="L57" s="96">
        <v>23.73</v>
      </c>
      <c r="M57" s="96">
        <v>26.071999999999999</v>
      </c>
      <c r="N57" s="96"/>
    </row>
    <row r="58" spans="2:14" x14ac:dyDescent="0.2">
      <c r="D58" s="50" t="s">
        <v>268</v>
      </c>
      <c r="E58" s="95">
        <v>26.664999999999999</v>
      </c>
      <c r="F58" s="95">
        <v>31.284999999999993</v>
      </c>
      <c r="G58" s="95"/>
      <c r="H58" s="51"/>
      <c r="K58" s="50">
        <v>49</v>
      </c>
      <c r="L58" s="95">
        <v>22.134</v>
      </c>
      <c r="M58" s="95">
        <v>25.045000000000002</v>
      </c>
      <c r="N58" s="95"/>
    </row>
    <row r="59" spans="2:14" x14ac:dyDescent="0.2">
      <c r="B59" s="52" t="s">
        <v>53</v>
      </c>
      <c r="C59" s="52" t="s">
        <v>272</v>
      </c>
      <c r="D59" s="54" t="s">
        <v>185</v>
      </c>
      <c r="E59" s="96">
        <v>29.818999999999999</v>
      </c>
      <c r="F59" s="96">
        <v>34.436999999999998</v>
      </c>
      <c r="G59" s="96">
        <v>34.436999999999998</v>
      </c>
      <c r="H59" s="73"/>
      <c r="I59" s="8" t="s">
        <v>62</v>
      </c>
      <c r="J59" s="52" t="s">
        <v>277</v>
      </c>
      <c r="K59" s="54" t="s">
        <v>98</v>
      </c>
      <c r="L59" s="96">
        <v>38.391999999999996</v>
      </c>
      <c r="M59" s="96">
        <v>45.103999999999999</v>
      </c>
      <c r="N59" s="96"/>
    </row>
    <row r="60" spans="2:14" x14ac:dyDescent="0.2">
      <c r="C60" t="s">
        <v>276</v>
      </c>
      <c r="D60" s="50" t="s">
        <v>147</v>
      </c>
      <c r="E60" s="95">
        <v>24.04</v>
      </c>
      <c r="F60" s="95">
        <v>27.154999999999998</v>
      </c>
      <c r="G60" s="95">
        <v>27.155000000000001</v>
      </c>
      <c r="H60" s="51"/>
      <c r="J60" t="s">
        <v>280</v>
      </c>
      <c r="K60" s="50" t="s">
        <v>536</v>
      </c>
      <c r="L60" s="95">
        <v>32.944000000000003</v>
      </c>
      <c r="M60" s="95">
        <v>39.605999999999995</v>
      </c>
      <c r="N60" s="95"/>
    </row>
    <row r="61" spans="2:14" x14ac:dyDescent="0.2">
      <c r="B61" s="52"/>
      <c r="C61" s="52" t="s">
        <v>279</v>
      </c>
      <c r="D61" s="54" t="s">
        <v>125</v>
      </c>
      <c r="E61" s="96">
        <v>29.908000000000001</v>
      </c>
      <c r="F61" s="96">
        <v>34.204999999999998</v>
      </c>
      <c r="G61" s="96">
        <v>34.204999999999998</v>
      </c>
      <c r="H61" s="73"/>
      <c r="I61" s="8"/>
      <c r="J61" s="52" t="s">
        <v>283</v>
      </c>
      <c r="K61" s="54" t="s">
        <v>185</v>
      </c>
      <c r="L61" s="96">
        <v>36.981999999999999</v>
      </c>
      <c r="M61" s="96">
        <v>44.696999999999996</v>
      </c>
      <c r="N61" s="96"/>
    </row>
    <row r="62" spans="2:14" x14ac:dyDescent="0.2">
      <c r="C62" t="s">
        <v>279</v>
      </c>
      <c r="D62" s="50" t="s">
        <v>295</v>
      </c>
      <c r="E62" s="95">
        <v>30.224999999999998</v>
      </c>
      <c r="F62" s="95">
        <v>34.564</v>
      </c>
      <c r="G62" s="95"/>
      <c r="H62" s="51"/>
      <c r="J62" t="s">
        <v>287</v>
      </c>
      <c r="K62" s="50" t="s">
        <v>288</v>
      </c>
      <c r="L62" s="95">
        <v>33.141000000000005</v>
      </c>
      <c r="M62" s="95">
        <v>39.362000000000002</v>
      </c>
      <c r="N62" s="95"/>
    </row>
    <row r="63" spans="2:14" x14ac:dyDescent="0.2">
      <c r="B63" s="52"/>
      <c r="C63" s="52" t="s">
        <v>534</v>
      </c>
      <c r="D63" s="54" t="s">
        <v>535</v>
      </c>
      <c r="E63" s="96">
        <v>22.024999999999999</v>
      </c>
      <c r="F63" s="96">
        <v>24.268000000000001</v>
      </c>
      <c r="G63" s="96"/>
      <c r="H63" s="73"/>
      <c r="I63" s="8"/>
      <c r="J63" s="52" t="s">
        <v>465</v>
      </c>
      <c r="K63" s="54" t="s">
        <v>466</v>
      </c>
      <c r="L63" s="96">
        <v>26.378999999999998</v>
      </c>
      <c r="M63" s="96">
        <v>31.517000000000003</v>
      </c>
      <c r="N63" s="96"/>
    </row>
    <row r="64" spans="2:14" x14ac:dyDescent="0.2">
      <c r="D64" s="50" t="s">
        <v>122</v>
      </c>
      <c r="E64" s="95">
        <v>25.097999999999999</v>
      </c>
      <c r="F64" s="95">
        <v>27.564</v>
      </c>
      <c r="G64" s="95">
        <v>27.564</v>
      </c>
      <c r="H64" s="51"/>
      <c r="K64" s="50" t="s">
        <v>80</v>
      </c>
      <c r="L64" s="95">
        <v>30.193999999999999</v>
      </c>
      <c r="M64" s="95">
        <v>36.641999999999996</v>
      </c>
      <c r="N64" s="95"/>
    </row>
    <row r="65" spans="2:14" x14ac:dyDescent="0.2">
      <c r="B65" s="52"/>
      <c r="C65" s="52"/>
      <c r="D65" s="54" t="s">
        <v>160</v>
      </c>
      <c r="E65" s="96">
        <v>22.533999999999999</v>
      </c>
      <c r="F65" s="96">
        <v>24.93</v>
      </c>
      <c r="G65" s="96">
        <v>24.93</v>
      </c>
      <c r="H65" s="73"/>
      <c r="I65" s="8"/>
      <c r="J65" s="52"/>
      <c r="K65" s="54" t="s">
        <v>122</v>
      </c>
      <c r="L65" s="96">
        <v>28.727999999999998</v>
      </c>
      <c r="M65" s="96">
        <v>35.1</v>
      </c>
      <c r="N65" s="96"/>
    </row>
    <row r="66" spans="2:14" x14ac:dyDescent="0.2">
      <c r="D66" s="50" t="s">
        <v>143</v>
      </c>
      <c r="E66" s="95">
        <v>24.780999999999999</v>
      </c>
      <c r="F66" s="95">
        <v>27.204999999999998</v>
      </c>
      <c r="G66" s="95">
        <v>27.204999999999998</v>
      </c>
      <c r="H66" s="51"/>
      <c r="K66" s="50" t="s">
        <v>296</v>
      </c>
      <c r="L66" s="95">
        <v>25.125</v>
      </c>
      <c r="M66" s="95">
        <v>36.641999999999996</v>
      </c>
      <c r="N66" s="95"/>
    </row>
    <row r="67" spans="2:14" x14ac:dyDescent="0.2">
      <c r="B67" s="52"/>
      <c r="C67" s="52"/>
      <c r="D67" s="54" t="s">
        <v>269</v>
      </c>
      <c r="E67" s="96">
        <v>22.024999999999999</v>
      </c>
      <c r="F67" s="96">
        <v>24.268000000000001</v>
      </c>
      <c r="G67" s="96">
        <v>24.268000000000001</v>
      </c>
      <c r="H67" s="73"/>
      <c r="I67" s="8"/>
      <c r="J67" s="52"/>
      <c r="K67" s="54" t="s">
        <v>300</v>
      </c>
      <c r="L67" s="96">
        <v>28.728000000000002</v>
      </c>
      <c r="M67" s="96">
        <v>35.1</v>
      </c>
      <c r="N67" s="96"/>
    </row>
    <row r="68" spans="2:14" x14ac:dyDescent="0.2">
      <c r="B68" t="s">
        <v>54</v>
      </c>
      <c r="C68" t="s">
        <v>299</v>
      </c>
      <c r="D68" s="50" t="s">
        <v>98</v>
      </c>
      <c r="E68" s="95">
        <v>29.983000000000001</v>
      </c>
      <c r="F68" s="95">
        <v>37.784999999999997</v>
      </c>
      <c r="G68" s="95"/>
      <c r="H68" s="51"/>
      <c r="K68" s="50"/>
      <c r="L68" s="95"/>
      <c r="M68" s="95"/>
      <c r="N68" s="95"/>
    </row>
    <row r="69" spans="2:14" x14ac:dyDescent="0.2">
      <c r="B69" s="52"/>
      <c r="C69" s="52" t="s">
        <v>299</v>
      </c>
      <c r="D69" s="54" t="s">
        <v>185</v>
      </c>
      <c r="E69" s="96">
        <v>29.288999999999998</v>
      </c>
      <c r="F69" s="96">
        <v>37.106000000000002</v>
      </c>
      <c r="G69" s="96"/>
      <c r="H69" s="73"/>
      <c r="I69" s="8"/>
      <c r="J69" s="52"/>
      <c r="K69" s="54"/>
      <c r="L69" s="96"/>
      <c r="M69" s="96"/>
      <c r="N69" s="96"/>
    </row>
    <row r="70" spans="2:14" ht="13.5" thickBot="1" x14ac:dyDescent="0.25">
      <c r="B70" s="391"/>
      <c r="C70" s="391" t="s">
        <v>307</v>
      </c>
      <c r="D70" s="506" t="s">
        <v>308</v>
      </c>
      <c r="E70" s="505">
        <v>12.963999999999999</v>
      </c>
      <c r="F70" s="505">
        <v>20.530999999999999</v>
      </c>
      <c r="G70" s="505"/>
      <c r="H70" s="507"/>
      <c r="I70" s="391"/>
      <c r="J70" s="391"/>
      <c r="K70" s="506"/>
      <c r="L70" s="508"/>
      <c r="M70" s="505"/>
      <c r="N70" s="505"/>
    </row>
    <row r="71" spans="2:14" x14ac:dyDescent="0.2">
      <c r="B71" s="6" t="s">
        <v>325</v>
      </c>
      <c r="C71" s="6"/>
      <c r="D71" s="6"/>
      <c r="E71" s="6"/>
      <c r="F71" s="6"/>
      <c r="G71" s="6"/>
      <c r="H71" s="72"/>
    </row>
    <row r="72" spans="2:14" x14ac:dyDescent="0.2"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5" spans="2:14" x14ac:dyDescent="0.2">
      <c r="E75" s="123"/>
      <c r="F75" s="123"/>
      <c r="G75" s="123"/>
    </row>
    <row r="84" spans="2:14" ht="15" x14ac:dyDescent="0.2">
      <c r="B84" s="603">
        <f>+' Table 17 part 1'!B81:N81+1</f>
        <v>19</v>
      </c>
      <c r="C84" s="603"/>
      <c r="D84" s="603"/>
      <c r="E84" s="603"/>
      <c r="F84" s="603"/>
      <c r="G84" s="603"/>
      <c r="H84" s="603"/>
      <c r="I84" s="603"/>
      <c r="J84" s="603"/>
      <c r="K84" s="603"/>
      <c r="L84" s="603"/>
      <c r="M84" s="603"/>
      <c r="N84" s="603"/>
    </row>
  </sheetData>
  <mergeCells count="1">
    <mergeCell ref="B84:N84"/>
  </mergeCells>
  <phoneticPr fontId="38" type="noConversion"/>
  <printOptions horizontalCentered="1"/>
  <pageMargins left="0.5" right="0.5" top="0.5" bottom="0.5" header="0" footer="0"/>
  <pageSetup scale="62" orientation="portrait" r:id="rId1"/>
  <headerFooter alignWithMargins="0"/>
  <ignoredErrors>
    <ignoredError sqref="D30" numberStoredAsText="1"/>
    <ignoredError sqref="D45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D1:K56"/>
  <sheetViews>
    <sheetView showGridLines="0" view="pageBreakPreview" zoomScaleNormal="100" zoomScaleSheetLayoutView="100" workbookViewId="0">
      <selection activeCell="D4" sqref="D4"/>
    </sheetView>
  </sheetViews>
  <sheetFormatPr defaultRowHeight="12.75" x14ac:dyDescent="0.2"/>
  <cols>
    <col min="2" max="2" width="13.42578125" bestFit="1" customWidth="1"/>
    <col min="4" max="4" width="13.5703125" customWidth="1"/>
    <col min="5" max="5" width="10.28515625" customWidth="1"/>
    <col min="6" max="6" width="1.85546875" customWidth="1"/>
    <col min="7" max="7" width="13.5703125" customWidth="1"/>
    <col min="8" max="8" width="12.28515625" customWidth="1"/>
    <col min="9" max="9" width="1.5703125" customWidth="1"/>
    <col min="10" max="10" width="14.7109375" customWidth="1"/>
    <col min="11" max="11" width="11.5703125" customWidth="1"/>
  </cols>
  <sheetData>
    <row r="1" spans="4:11" ht="15" x14ac:dyDescent="0.25">
      <c r="D1" s="83" t="s">
        <v>443</v>
      </c>
    </row>
    <row r="2" spans="4:11" ht="15" x14ac:dyDescent="0.25">
      <c r="D2" s="74" t="s">
        <v>497</v>
      </c>
      <c r="H2" s="74" t="str">
        <f>'table 1 &amp; 2'!C2</f>
        <v>2022 Tax Year</v>
      </c>
    </row>
    <row r="3" spans="4:11" ht="15" x14ac:dyDescent="0.25">
      <c r="D3" s="74"/>
    </row>
    <row r="4" spans="4:11" ht="16.5" x14ac:dyDescent="0.25">
      <c r="D4" s="77" t="s">
        <v>2</v>
      </c>
    </row>
    <row r="5" spans="4:11" ht="16.5" x14ac:dyDescent="0.25">
      <c r="D5" s="77" t="s">
        <v>537</v>
      </c>
    </row>
    <row r="7" spans="4:11" ht="13.5" thickBot="1" x14ac:dyDescent="0.25">
      <c r="D7" s="47" t="s">
        <v>75</v>
      </c>
      <c r="E7" s="47" t="s">
        <v>27</v>
      </c>
      <c r="F7" s="63"/>
      <c r="G7" s="145" t="s">
        <v>75</v>
      </c>
      <c r="H7" s="47" t="s">
        <v>27</v>
      </c>
      <c r="I7" s="63"/>
      <c r="J7" s="145" t="s">
        <v>75</v>
      </c>
      <c r="K7" s="47" t="s">
        <v>27</v>
      </c>
    </row>
    <row r="8" spans="4:11" x14ac:dyDescent="0.2">
      <c r="D8" t="s">
        <v>306</v>
      </c>
      <c r="E8" t="s">
        <v>49</v>
      </c>
      <c r="F8" s="509"/>
      <c r="G8" t="s">
        <v>210</v>
      </c>
      <c r="H8" t="s">
        <v>60</v>
      </c>
      <c r="I8" s="122"/>
      <c r="J8" s="171" t="s">
        <v>307</v>
      </c>
      <c r="K8" s="512" t="s">
        <v>54</v>
      </c>
    </row>
    <row r="9" spans="4:11" x14ac:dyDescent="0.2">
      <c r="D9" s="305" t="s">
        <v>76</v>
      </c>
      <c r="E9" s="308" t="s">
        <v>31</v>
      </c>
      <c r="F9" s="306"/>
      <c r="G9" s="306" t="s">
        <v>190</v>
      </c>
      <c r="H9" s="305" t="s">
        <v>43</v>
      </c>
      <c r="I9" s="511"/>
      <c r="J9" s="305" t="s">
        <v>287</v>
      </c>
      <c r="K9" s="305" t="s">
        <v>62</v>
      </c>
    </row>
    <row r="10" spans="4:11" x14ac:dyDescent="0.2">
      <c r="D10" t="s">
        <v>447</v>
      </c>
      <c r="E10" t="s">
        <v>37</v>
      </c>
      <c r="F10" s="122"/>
      <c r="G10" s="510" t="s">
        <v>276</v>
      </c>
      <c r="H10" t="s">
        <v>53</v>
      </c>
      <c r="I10" s="354"/>
      <c r="J10" s="510" t="s">
        <v>178</v>
      </c>
      <c r="K10" t="s">
        <v>52</v>
      </c>
    </row>
    <row r="11" spans="4:11" x14ac:dyDescent="0.2">
      <c r="D11" s="308" t="s">
        <v>208</v>
      </c>
      <c r="E11" s="308" t="s">
        <v>35</v>
      </c>
      <c r="F11" s="306"/>
      <c r="G11" s="306" t="s">
        <v>191</v>
      </c>
      <c r="H11" s="305" t="s">
        <v>52</v>
      </c>
      <c r="I11" s="307"/>
      <c r="J11" s="306" t="s">
        <v>175</v>
      </c>
      <c r="K11" s="305" t="s">
        <v>59</v>
      </c>
    </row>
    <row r="12" spans="4:11" x14ac:dyDescent="0.2">
      <c r="D12" t="s">
        <v>313</v>
      </c>
      <c r="E12" t="s">
        <v>38</v>
      </c>
      <c r="F12" s="49"/>
      <c r="G12" s="122" t="s">
        <v>260</v>
      </c>
      <c r="H12" t="s">
        <v>61</v>
      </c>
      <c r="I12" s="49"/>
      <c r="J12" s="122" t="s">
        <v>212</v>
      </c>
      <c r="K12" t="s">
        <v>35</v>
      </c>
    </row>
    <row r="13" spans="4:11" x14ac:dyDescent="0.2">
      <c r="D13" s="305" t="s">
        <v>272</v>
      </c>
      <c r="E13" s="305" t="s">
        <v>53</v>
      </c>
      <c r="F13" s="307"/>
      <c r="G13" s="306" t="s">
        <v>274</v>
      </c>
      <c r="H13" s="305" t="s">
        <v>273</v>
      </c>
      <c r="I13" s="307"/>
      <c r="J13" s="306" t="s">
        <v>179</v>
      </c>
      <c r="K13" s="305" t="s">
        <v>59</v>
      </c>
    </row>
    <row r="14" spans="4:11" x14ac:dyDescent="0.2">
      <c r="D14" t="s">
        <v>109</v>
      </c>
      <c r="E14" t="s">
        <v>39</v>
      </c>
      <c r="F14" s="49"/>
      <c r="G14" t="s">
        <v>278</v>
      </c>
      <c r="H14" t="s">
        <v>47</v>
      </c>
      <c r="I14" s="49"/>
      <c r="J14" s="122" t="s">
        <v>118</v>
      </c>
      <c r="K14" t="s">
        <v>32</v>
      </c>
    </row>
    <row r="15" spans="4:11" x14ac:dyDescent="0.2">
      <c r="D15" s="305" t="s">
        <v>283</v>
      </c>
      <c r="E15" s="305" t="s">
        <v>62</v>
      </c>
      <c r="F15" s="307"/>
      <c r="G15" s="305" t="s">
        <v>257</v>
      </c>
      <c r="H15" s="305" t="s">
        <v>36</v>
      </c>
      <c r="I15" s="307"/>
      <c r="J15" s="306" t="s">
        <v>465</v>
      </c>
      <c r="K15" s="305" t="s">
        <v>62</v>
      </c>
    </row>
    <row r="16" spans="4:11" x14ac:dyDescent="0.2">
      <c r="D16" t="s">
        <v>31</v>
      </c>
      <c r="E16" t="s">
        <v>55</v>
      </c>
      <c r="F16" s="49"/>
      <c r="G16" t="s">
        <v>181</v>
      </c>
      <c r="H16" t="s">
        <v>34</v>
      </c>
      <c r="I16" s="49"/>
      <c r="J16" s="383" t="s">
        <v>95</v>
      </c>
      <c r="K16" t="s">
        <v>55</v>
      </c>
    </row>
    <row r="17" spans="4:11" x14ac:dyDescent="0.2">
      <c r="D17" s="305" t="s">
        <v>279</v>
      </c>
      <c r="E17" s="305" t="s">
        <v>53</v>
      </c>
      <c r="F17" s="307"/>
      <c r="G17" s="305" t="s">
        <v>263</v>
      </c>
      <c r="H17" s="305" t="s">
        <v>61</v>
      </c>
      <c r="I17" s="307"/>
      <c r="J17" s="424" t="s">
        <v>138</v>
      </c>
      <c r="K17" s="305" t="s">
        <v>33</v>
      </c>
    </row>
    <row r="18" spans="4:11" x14ac:dyDescent="0.2">
      <c r="D18" t="s">
        <v>280</v>
      </c>
      <c r="E18" t="s">
        <v>62</v>
      </c>
      <c r="F18" s="49"/>
      <c r="G18" t="s">
        <v>144</v>
      </c>
      <c r="H18" t="s">
        <v>33</v>
      </c>
      <c r="I18" s="49"/>
      <c r="J18" s="122" t="s">
        <v>140</v>
      </c>
      <c r="K18" t="s">
        <v>41</v>
      </c>
    </row>
    <row r="19" spans="4:11" x14ac:dyDescent="0.2">
      <c r="D19" s="305" t="s">
        <v>243</v>
      </c>
      <c r="E19" s="305" t="s">
        <v>44</v>
      </c>
      <c r="F19" s="307"/>
      <c r="G19" s="305" t="s">
        <v>292</v>
      </c>
      <c r="H19" s="305" t="s">
        <v>37</v>
      </c>
      <c r="I19" s="307"/>
      <c r="J19" s="306" t="s">
        <v>228</v>
      </c>
      <c r="K19" s="305" t="s">
        <v>44</v>
      </c>
    </row>
    <row r="20" spans="4:11" x14ac:dyDescent="0.2">
      <c r="D20" t="s">
        <v>304</v>
      </c>
      <c r="E20" t="s">
        <v>38</v>
      </c>
      <c r="F20" s="49"/>
      <c r="G20" t="s">
        <v>193</v>
      </c>
      <c r="H20" t="s">
        <v>43</v>
      </c>
      <c r="I20" s="49"/>
      <c r="J20" s="122" t="s">
        <v>232</v>
      </c>
      <c r="K20" t="s">
        <v>44</v>
      </c>
    </row>
    <row r="21" spans="4:11" x14ac:dyDescent="0.2">
      <c r="D21" s="305" t="s">
        <v>235</v>
      </c>
      <c r="E21" s="305" t="s">
        <v>44</v>
      </c>
      <c r="F21" s="307"/>
      <c r="G21" s="305" t="s">
        <v>78</v>
      </c>
      <c r="H21" s="305" t="s">
        <v>38</v>
      </c>
      <c r="I21" s="307"/>
      <c r="J21" s="306" t="s">
        <v>116</v>
      </c>
      <c r="K21" s="305" t="s">
        <v>50</v>
      </c>
    </row>
    <row r="22" spans="4:11" x14ac:dyDescent="0.2">
      <c r="D22" t="s">
        <v>195</v>
      </c>
      <c r="E22" t="s">
        <v>52</v>
      </c>
      <c r="F22" s="49"/>
      <c r="G22" t="s">
        <v>105</v>
      </c>
      <c r="H22" t="s">
        <v>50</v>
      </c>
      <c r="I22" s="49"/>
      <c r="J22" s="122" t="s">
        <v>244</v>
      </c>
      <c r="K22" t="s">
        <v>55</v>
      </c>
    </row>
    <row r="23" spans="4:11" x14ac:dyDescent="0.2">
      <c r="D23" s="305" t="s">
        <v>155</v>
      </c>
      <c r="E23" s="305" t="s">
        <v>51</v>
      </c>
      <c r="F23" s="307"/>
      <c r="G23" s="305" t="s">
        <v>103</v>
      </c>
      <c r="H23" s="305" t="s">
        <v>39</v>
      </c>
      <c r="I23" s="307"/>
      <c r="J23" s="306" t="s">
        <v>114</v>
      </c>
      <c r="K23" s="305" t="s">
        <v>39</v>
      </c>
    </row>
    <row r="24" spans="4:11" x14ac:dyDescent="0.2">
      <c r="D24" t="s">
        <v>203</v>
      </c>
      <c r="E24" t="s">
        <v>35</v>
      </c>
      <c r="F24" s="49"/>
      <c r="G24" t="s">
        <v>199</v>
      </c>
      <c r="H24" t="s">
        <v>43</v>
      </c>
      <c r="I24" s="49"/>
      <c r="J24" s="122" t="s">
        <v>56</v>
      </c>
      <c r="K24" t="s">
        <v>56</v>
      </c>
    </row>
    <row r="25" spans="4:11" x14ac:dyDescent="0.2">
      <c r="D25" s="305" t="s">
        <v>253</v>
      </c>
      <c r="E25" s="305" t="s">
        <v>61</v>
      </c>
      <c r="F25" s="307"/>
      <c r="G25" s="305" t="s">
        <v>240</v>
      </c>
      <c r="H25" s="305" t="s">
        <v>55</v>
      </c>
      <c r="I25" s="307"/>
      <c r="J25" s="306" t="s">
        <v>127</v>
      </c>
      <c r="K25" s="305" t="s">
        <v>40</v>
      </c>
    </row>
    <row r="26" spans="4:11" x14ac:dyDescent="0.2">
      <c r="D26" t="s">
        <v>314</v>
      </c>
      <c r="E26" t="s">
        <v>49</v>
      </c>
      <c r="F26" s="49"/>
      <c r="G26" t="s">
        <v>534</v>
      </c>
      <c r="H26" t="s">
        <v>53</v>
      </c>
      <c r="I26" s="49"/>
      <c r="J26" s="122" t="s">
        <v>97</v>
      </c>
      <c r="K26" t="s">
        <v>39</v>
      </c>
    </row>
    <row r="27" spans="4:11" x14ac:dyDescent="0.2">
      <c r="D27" s="305" t="s">
        <v>246</v>
      </c>
      <c r="E27" s="305" t="s">
        <v>36</v>
      </c>
      <c r="F27" s="307"/>
      <c r="G27" s="305" t="s">
        <v>153</v>
      </c>
      <c r="H27" s="305" t="s">
        <v>33</v>
      </c>
      <c r="I27" s="307"/>
      <c r="J27" s="306" t="s">
        <v>58</v>
      </c>
      <c r="K27" s="305" t="s">
        <v>58</v>
      </c>
    </row>
    <row r="28" spans="4:11" x14ac:dyDescent="0.2">
      <c r="D28" t="s">
        <v>271</v>
      </c>
      <c r="E28" t="s">
        <v>46</v>
      </c>
      <c r="F28" s="49"/>
      <c r="G28" t="s">
        <v>281</v>
      </c>
      <c r="H28" t="s">
        <v>37</v>
      </c>
      <c r="I28" s="49"/>
      <c r="J28" s="122" t="s">
        <v>218</v>
      </c>
      <c r="K28" t="s">
        <v>35</v>
      </c>
    </row>
    <row r="29" spans="4:11" x14ac:dyDescent="0.2">
      <c r="D29" s="305" t="s">
        <v>239</v>
      </c>
      <c r="E29" s="305" t="s">
        <v>44</v>
      </c>
      <c r="F29" s="307"/>
      <c r="G29" s="305" t="s">
        <v>299</v>
      </c>
      <c r="H29" s="305" t="s">
        <v>54</v>
      </c>
      <c r="I29" s="307"/>
      <c r="J29" s="306" t="s">
        <v>289</v>
      </c>
      <c r="K29" s="305" t="s">
        <v>37</v>
      </c>
    </row>
    <row r="30" spans="4:11" x14ac:dyDescent="0.2">
      <c r="D30" t="s">
        <v>90</v>
      </c>
      <c r="E30" t="s">
        <v>55</v>
      </c>
      <c r="F30" s="49"/>
      <c r="G30" t="s">
        <v>111</v>
      </c>
      <c r="H30" t="s">
        <v>50</v>
      </c>
      <c r="I30" s="49"/>
      <c r="J30" s="122" t="s">
        <v>124</v>
      </c>
      <c r="K30" t="s">
        <v>57</v>
      </c>
    </row>
    <row r="31" spans="4:11" x14ac:dyDescent="0.2">
      <c r="D31" s="305" t="s">
        <v>236</v>
      </c>
      <c r="E31" s="305" t="s">
        <v>55</v>
      </c>
      <c r="F31" s="307"/>
      <c r="G31" s="305" t="s">
        <v>166</v>
      </c>
      <c r="H31" s="305" t="s">
        <v>42</v>
      </c>
      <c r="I31" s="307"/>
      <c r="J31" s="306" t="s">
        <v>59</v>
      </c>
      <c r="K31" s="305" t="s">
        <v>59</v>
      </c>
    </row>
    <row r="32" spans="4:11" x14ac:dyDescent="0.2">
      <c r="D32" t="s">
        <v>267</v>
      </c>
      <c r="E32" t="s">
        <v>46</v>
      </c>
      <c r="F32" s="49"/>
      <c r="G32" t="s">
        <v>45</v>
      </c>
      <c r="H32" t="s">
        <v>45</v>
      </c>
      <c r="I32" s="49"/>
      <c r="J32" s="122" t="s">
        <v>186</v>
      </c>
      <c r="K32" t="s">
        <v>59</v>
      </c>
    </row>
    <row r="33" spans="4:11" x14ac:dyDescent="0.2">
      <c r="D33" s="305" t="s">
        <v>255</v>
      </c>
      <c r="E33" s="305" t="s">
        <v>61</v>
      </c>
      <c r="F33" s="307"/>
      <c r="G33" s="305" t="s">
        <v>277</v>
      </c>
      <c r="H33" s="305" t="s">
        <v>62</v>
      </c>
      <c r="I33" s="307"/>
      <c r="J33" s="306" t="s">
        <v>204</v>
      </c>
      <c r="K33" s="305" t="s">
        <v>43</v>
      </c>
    </row>
    <row r="34" spans="4:11" x14ac:dyDescent="0.2">
      <c r="D34" t="s">
        <v>148</v>
      </c>
      <c r="E34" t="s">
        <v>33</v>
      </c>
      <c r="F34" s="49"/>
      <c r="G34" t="s">
        <v>82</v>
      </c>
      <c r="H34" t="s">
        <v>31</v>
      </c>
      <c r="I34" s="49"/>
      <c r="J34" s="122" t="s">
        <v>250</v>
      </c>
      <c r="K34" t="s">
        <v>36</v>
      </c>
    </row>
    <row r="35" spans="4:11" x14ac:dyDescent="0.2">
      <c r="D35" s="305" t="s">
        <v>201</v>
      </c>
      <c r="E35" s="305" t="s">
        <v>52</v>
      </c>
      <c r="F35" s="307"/>
      <c r="G35" s="305" t="s">
        <v>309</v>
      </c>
      <c r="H35" s="305" t="s">
        <v>38</v>
      </c>
      <c r="I35" s="307"/>
      <c r="J35" s="306" t="s">
        <v>86</v>
      </c>
      <c r="K35" s="305" t="s">
        <v>31</v>
      </c>
    </row>
    <row r="36" spans="4:11" x14ac:dyDescent="0.2">
      <c r="D36" t="s">
        <v>206</v>
      </c>
      <c r="E36" t="s">
        <v>35</v>
      </c>
      <c r="F36" s="49"/>
      <c r="G36" t="s">
        <v>183</v>
      </c>
      <c r="H36" t="s">
        <v>43</v>
      </c>
      <c r="I36" s="49"/>
      <c r="J36" s="122" t="s">
        <v>99</v>
      </c>
      <c r="K36" t="s">
        <v>50</v>
      </c>
    </row>
    <row r="37" spans="4:11" x14ac:dyDescent="0.2">
      <c r="D37" s="513" t="s">
        <v>100</v>
      </c>
      <c r="E37" s="305" t="s">
        <v>31</v>
      </c>
      <c r="F37" s="307"/>
      <c r="G37" s="305" t="s">
        <v>151</v>
      </c>
      <c r="H37" s="305" t="s">
        <v>58</v>
      </c>
      <c r="I37" s="307"/>
      <c r="J37" s="306" t="s">
        <v>311</v>
      </c>
      <c r="K37" s="305" t="s">
        <v>49</v>
      </c>
    </row>
    <row r="38" spans="4:11" x14ac:dyDescent="0.2">
      <c r="D38" s="335" t="s">
        <v>100</v>
      </c>
      <c r="E38" t="s">
        <v>55</v>
      </c>
      <c r="F38" s="49"/>
      <c r="G38" t="s">
        <v>221</v>
      </c>
      <c r="H38" t="s">
        <v>35</v>
      </c>
      <c r="I38" s="49"/>
      <c r="J38" s="122" t="s">
        <v>133</v>
      </c>
      <c r="K38" t="s">
        <v>40</v>
      </c>
    </row>
    <row r="39" spans="4:11" x14ac:dyDescent="0.2">
      <c r="D39" s="305" t="s">
        <v>100</v>
      </c>
      <c r="E39" s="305" t="s">
        <v>56</v>
      </c>
      <c r="F39" s="307"/>
      <c r="G39" s="305" t="s">
        <v>254</v>
      </c>
      <c r="H39" s="305" t="s">
        <v>36</v>
      </c>
      <c r="I39" s="307"/>
      <c r="J39" s="306" t="s">
        <v>169</v>
      </c>
      <c r="K39" s="305" t="s">
        <v>42</v>
      </c>
    </row>
    <row r="40" spans="4:11" x14ac:dyDescent="0.2">
      <c r="D40" t="s">
        <v>136</v>
      </c>
      <c r="E40" t="s">
        <v>57</v>
      </c>
      <c r="F40" s="49"/>
      <c r="G40" t="s">
        <v>284</v>
      </c>
      <c r="H40" t="s">
        <v>37</v>
      </c>
      <c r="I40" s="49"/>
      <c r="J40" s="122" t="s">
        <v>291</v>
      </c>
      <c r="K40" t="s">
        <v>48</v>
      </c>
    </row>
    <row r="41" spans="4:11" x14ac:dyDescent="0.2">
      <c r="D41" s="305" t="s">
        <v>184</v>
      </c>
      <c r="E41" s="305" t="s">
        <v>52</v>
      </c>
      <c r="F41" s="307"/>
      <c r="G41" s="305" t="s">
        <v>188</v>
      </c>
      <c r="H41" s="305" t="s">
        <v>34</v>
      </c>
      <c r="I41" s="307"/>
      <c r="J41" s="306" t="s">
        <v>216</v>
      </c>
      <c r="K41" s="305" t="s">
        <v>60</v>
      </c>
    </row>
    <row r="42" spans="4:11" x14ac:dyDescent="0.2">
      <c r="D42" t="s">
        <v>230</v>
      </c>
      <c r="E42" t="s">
        <v>60</v>
      </c>
      <c r="F42" s="49"/>
      <c r="G42" t="s">
        <v>220</v>
      </c>
      <c r="H42" t="s">
        <v>60</v>
      </c>
      <c r="I42" s="49"/>
      <c r="J42" s="122" t="s">
        <v>130</v>
      </c>
      <c r="K42" t="s">
        <v>57</v>
      </c>
    </row>
    <row r="43" spans="4:11" x14ac:dyDescent="0.2">
      <c r="D43" s="513" t="s">
        <v>93</v>
      </c>
      <c r="E43" s="305" t="s">
        <v>51</v>
      </c>
      <c r="F43" s="511"/>
      <c r="G43" s="305" t="s">
        <v>146</v>
      </c>
      <c r="H43" s="514" t="s">
        <v>41</v>
      </c>
      <c r="I43" s="511"/>
      <c r="J43" s="516"/>
      <c r="K43" s="516"/>
    </row>
    <row r="44" spans="4:11" ht="13.5" thickBot="1" x14ac:dyDescent="0.25">
      <c r="D44" s="515" t="s">
        <v>93</v>
      </c>
      <c r="E44" s="515" t="s">
        <v>56</v>
      </c>
      <c r="F44" s="63"/>
      <c r="G44" s="391" t="s">
        <v>225</v>
      </c>
      <c r="H44" s="391" t="s">
        <v>60</v>
      </c>
      <c r="I44" s="63"/>
      <c r="J44" s="517"/>
      <c r="K44" s="517"/>
    </row>
    <row r="45" spans="4:11" ht="14.25" x14ac:dyDescent="0.2">
      <c r="D45" s="67" t="s">
        <v>559</v>
      </c>
    </row>
    <row r="46" spans="4:11" ht="14.25" x14ac:dyDescent="0.2">
      <c r="D46" s="67" t="s">
        <v>550</v>
      </c>
    </row>
    <row r="47" spans="4:11" ht="14.25" x14ac:dyDescent="0.2">
      <c r="D47" s="67" t="s">
        <v>551</v>
      </c>
    </row>
    <row r="48" spans="4:11" ht="14.25" x14ac:dyDescent="0.2">
      <c r="D48" s="67"/>
    </row>
    <row r="49" spans="4:11" ht="14.25" x14ac:dyDescent="0.2">
      <c r="D49" s="67"/>
    </row>
    <row r="50" spans="4:11" ht="14.25" x14ac:dyDescent="0.2">
      <c r="D50" s="67"/>
    </row>
    <row r="51" spans="4:11" ht="14.25" x14ac:dyDescent="0.2">
      <c r="D51" s="67"/>
    </row>
    <row r="55" spans="4:11" ht="18.75" customHeight="1" x14ac:dyDescent="0.2"/>
    <row r="56" spans="4:11" ht="15.75" customHeight="1" x14ac:dyDescent="0.2">
      <c r="D56" s="602">
        <f>'Table 17 part 2'!B84+1</f>
        <v>20</v>
      </c>
      <c r="E56" s="602"/>
      <c r="F56" s="602"/>
      <c r="G56" s="602"/>
      <c r="H56" s="602"/>
      <c r="I56" s="602"/>
      <c r="J56" s="602"/>
      <c r="K56" s="602"/>
    </row>
  </sheetData>
  <mergeCells count="1">
    <mergeCell ref="D56:K56"/>
  </mergeCells>
  <phoneticPr fontId="38" type="noConversion"/>
  <printOptions horizontalCentered="1" verticalCentered="1"/>
  <pageMargins left="0.75" right="0.75" top="0.5" bottom="0.5" header="0" footer="0"/>
  <pageSetup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B2:S111"/>
  <sheetViews>
    <sheetView showGridLines="0" view="pageBreakPreview" topLeftCell="A33" zoomScaleNormal="100" zoomScaleSheetLayoutView="100" workbookViewId="0">
      <selection activeCell="B5" sqref="B5"/>
    </sheetView>
  </sheetViews>
  <sheetFormatPr defaultRowHeight="12.75" x14ac:dyDescent="0.2"/>
  <cols>
    <col min="2" max="2" width="13.42578125" bestFit="1" customWidth="1"/>
    <col min="3" max="4" width="10.140625" customWidth="1"/>
    <col min="5" max="5" width="8" customWidth="1"/>
    <col min="6" max="6" width="9.7109375" style="177" customWidth="1"/>
    <col min="7" max="7" width="1.7109375" customWidth="1"/>
    <col min="8" max="8" width="23.42578125" customWidth="1"/>
    <col min="9" max="9" width="10.28515625" customWidth="1"/>
    <col min="10" max="10" width="10.5703125" customWidth="1"/>
    <col min="11" max="11" width="9.85546875" customWidth="1"/>
    <col min="12" max="12" width="9.5703125" style="177" customWidth="1"/>
    <col min="13" max="13" width="9.140625" style="72"/>
    <col min="18" max="18" width="11.28515625" customWidth="1"/>
  </cols>
  <sheetData>
    <row r="2" spans="2:18" ht="15" x14ac:dyDescent="0.25">
      <c r="B2" s="83" t="s">
        <v>443</v>
      </c>
    </row>
    <row r="3" spans="2:18" ht="15" x14ac:dyDescent="0.25">
      <c r="B3" s="74" t="s">
        <v>497</v>
      </c>
      <c r="E3" s="74" t="str">
        <f>'table 1 &amp; 2'!C2</f>
        <v>2022 Tax Year</v>
      </c>
    </row>
    <row r="5" spans="2:18" ht="15.75" x14ac:dyDescent="0.25">
      <c r="B5" s="3" t="s">
        <v>330</v>
      </c>
      <c r="C5" s="333"/>
      <c r="D5" s="3"/>
      <c r="E5" s="3"/>
      <c r="F5" s="250"/>
      <c r="G5" s="3"/>
      <c r="H5" s="3"/>
      <c r="I5" s="3"/>
    </row>
    <row r="6" spans="2:18" ht="15.75" x14ac:dyDescent="0.25">
      <c r="B6" s="3" t="s">
        <v>514</v>
      </c>
      <c r="C6" s="3"/>
      <c r="D6" s="3"/>
      <c r="E6" s="3"/>
      <c r="F6" s="250"/>
      <c r="G6" s="3"/>
      <c r="H6" s="3"/>
      <c r="I6" s="3" t="str">
        <f>E3</f>
        <v>2022 Tax Year</v>
      </c>
    </row>
    <row r="7" spans="2:18" ht="3.75" customHeight="1" x14ac:dyDescent="0.25">
      <c r="B7" s="3"/>
      <c r="C7" s="3"/>
      <c r="D7" s="3"/>
      <c r="E7" s="3"/>
      <c r="F7" s="250"/>
      <c r="G7" s="3"/>
      <c r="H7" s="3"/>
      <c r="I7" s="3"/>
    </row>
    <row r="8" spans="2:18" x14ac:dyDescent="0.2">
      <c r="G8" s="49"/>
    </row>
    <row r="9" spans="2:18" x14ac:dyDescent="0.2">
      <c r="D9" s="46" t="s">
        <v>5</v>
      </c>
      <c r="E9" s="46" t="s">
        <v>328</v>
      </c>
      <c r="F9" s="177" t="s">
        <v>327</v>
      </c>
      <c r="G9" s="49"/>
      <c r="J9" s="46" t="s">
        <v>5</v>
      </c>
      <c r="K9" s="46" t="s">
        <v>328</v>
      </c>
      <c r="L9" s="177" t="s">
        <v>327</v>
      </c>
    </row>
    <row r="10" spans="2:18" ht="15" thickBot="1" x14ac:dyDescent="0.25">
      <c r="B10" s="47" t="s">
        <v>75</v>
      </c>
      <c r="C10" s="47" t="s">
        <v>9</v>
      </c>
      <c r="D10" s="68" t="s">
        <v>9</v>
      </c>
      <c r="E10" s="68" t="s">
        <v>326</v>
      </c>
      <c r="F10" s="178" t="s">
        <v>329</v>
      </c>
      <c r="G10" s="49"/>
      <c r="H10" s="47" t="s">
        <v>75</v>
      </c>
      <c r="I10" s="68" t="s">
        <v>9</v>
      </c>
      <c r="J10" s="68" t="s">
        <v>9</v>
      </c>
      <c r="K10" s="68" t="s">
        <v>326</v>
      </c>
      <c r="L10" s="178" t="s">
        <v>329</v>
      </c>
      <c r="N10" s="572">
        <f>SUM(K11:K62)+SUM(E11:E64)</f>
        <v>534.89699999999993</v>
      </c>
      <c r="O10" s="573" t="s">
        <v>470</v>
      </c>
      <c r="P10" s="574"/>
      <c r="Q10" s="574"/>
      <c r="R10" s="575"/>
    </row>
    <row r="11" spans="2:18" x14ac:dyDescent="0.2">
      <c r="B11" s="52" t="s">
        <v>306</v>
      </c>
      <c r="C11" s="270">
        <v>5.1559999999999997</v>
      </c>
      <c r="D11" s="270">
        <v>7.0640000000000001</v>
      </c>
      <c r="E11" s="284">
        <v>7.0640000000000001</v>
      </c>
      <c r="F11" s="271">
        <v>0.58599999999999997</v>
      </c>
      <c r="G11" s="58"/>
      <c r="H11" s="52" t="s">
        <v>281</v>
      </c>
      <c r="I11" s="270">
        <v>4.7869999999999999</v>
      </c>
      <c r="J11" s="270">
        <v>5.12</v>
      </c>
      <c r="K11" s="284">
        <v>5.12</v>
      </c>
      <c r="L11" s="271">
        <v>2.5299999999999998</v>
      </c>
      <c r="N11" s="580">
        <f>106*7.65</f>
        <v>810.90000000000009</v>
      </c>
      <c r="O11" s="581" t="s">
        <v>471</v>
      </c>
      <c r="P11" s="581"/>
      <c r="Q11" s="581"/>
      <c r="R11" s="582"/>
    </row>
    <row r="12" spans="2:18" x14ac:dyDescent="0.2">
      <c r="B12" t="s">
        <v>76</v>
      </c>
      <c r="C12" s="72">
        <v>6.2320000000000002</v>
      </c>
      <c r="D12" s="72">
        <v>6.5439999999999996</v>
      </c>
      <c r="E12" s="179">
        <v>6.5439999999999996</v>
      </c>
      <c r="F12" s="285">
        <v>1.1060000000000001</v>
      </c>
      <c r="G12" s="49"/>
      <c r="H12" s="7" t="s">
        <v>299</v>
      </c>
      <c r="I12" s="268">
        <v>6.9740000000000002</v>
      </c>
      <c r="J12" s="268">
        <v>7.65</v>
      </c>
      <c r="K12" s="288">
        <v>7.65</v>
      </c>
      <c r="L12" s="289">
        <v>0</v>
      </c>
      <c r="M12" s="268"/>
      <c r="N12" s="576">
        <f>N10/N11</f>
        <v>0.65963374028856814</v>
      </c>
      <c r="O12" s="577" t="s">
        <v>472</v>
      </c>
      <c r="P12" s="577"/>
      <c r="Q12" s="117"/>
      <c r="R12" s="578"/>
    </row>
    <row r="13" spans="2:18" x14ac:dyDescent="0.2">
      <c r="B13" s="140" t="s">
        <v>208</v>
      </c>
      <c r="C13" s="269">
        <v>5.5810000000000004</v>
      </c>
      <c r="D13" s="269">
        <v>7.65</v>
      </c>
      <c r="E13" s="286">
        <v>7.65</v>
      </c>
      <c r="F13" s="287">
        <v>0</v>
      </c>
      <c r="G13" s="272"/>
      <c r="H13" s="140" t="s">
        <v>111</v>
      </c>
      <c r="I13" s="269">
        <v>7.4420000000000002</v>
      </c>
      <c r="J13" s="269">
        <v>6.68</v>
      </c>
      <c r="K13" s="286">
        <v>7.65</v>
      </c>
      <c r="L13" s="287">
        <v>0</v>
      </c>
      <c r="M13" s="268"/>
    </row>
    <row r="14" spans="2:18" x14ac:dyDescent="0.2">
      <c r="B14" s="7" t="s">
        <v>447</v>
      </c>
      <c r="C14" s="268">
        <v>7.65</v>
      </c>
      <c r="D14" s="268">
        <v>7.65</v>
      </c>
      <c r="E14" s="288">
        <v>7.65</v>
      </c>
      <c r="F14" s="289">
        <v>0</v>
      </c>
      <c r="G14" s="49"/>
      <c r="H14" t="s">
        <v>166</v>
      </c>
      <c r="I14" s="72">
        <v>2.6669999999999998</v>
      </c>
      <c r="J14" s="72">
        <v>3.2250000000000001</v>
      </c>
      <c r="K14" s="179">
        <v>3.2250000000000001</v>
      </c>
      <c r="L14" s="285">
        <v>4.4249999999999998</v>
      </c>
    </row>
    <row r="15" spans="2:18" x14ac:dyDescent="0.2">
      <c r="B15" s="52" t="s">
        <v>313</v>
      </c>
      <c r="C15" s="269">
        <v>3.387</v>
      </c>
      <c r="D15" s="270">
        <v>3.5</v>
      </c>
      <c r="E15" s="284">
        <v>3.5</v>
      </c>
      <c r="F15" s="271">
        <v>4.1500000000000004</v>
      </c>
      <c r="G15" s="49"/>
      <c r="H15" s="52" t="s">
        <v>45</v>
      </c>
      <c r="I15" s="270">
        <v>3.57</v>
      </c>
      <c r="J15" s="270">
        <v>3.9980000000000002</v>
      </c>
      <c r="K15" s="284">
        <v>3.9980000000000002</v>
      </c>
      <c r="L15" s="271">
        <v>3.6520000000000001</v>
      </c>
      <c r="P15" s="579"/>
    </row>
    <row r="16" spans="2:18" x14ac:dyDescent="0.2">
      <c r="B16" t="s">
        <v>272</v>
      </c>
      <c r="C16" s="72">
        <v>4.7210000000000001</v>
      </c>
      <c r="D16" s="72">
        <v>6.8730000000000002</v>
      </c>
      <c r="E16" s="179">
        <v>6.8730000000000002</v>
      </c>
      <c r="F16" s="285">
        <v>0.77700000000000002</v>
      </c>
      <c r="G16" s="49"/>
      <c r="H16" s="7" t="s">
        <v>277</v>
      </c>
      <c r="I16" s="268">
        <v>7.3860000000000001</v>
      </c>
      <c r="J16" s="268">
        <v>7.65</v>
      </c>
      <c r="K16" s="288">
        <v>7.65</v>
      </c>
      <c r="L16" s="289">
        <v>0</v>
      </c>
      <c r="M16" s="268"/>
    </row>
    <row r="17" spans="2:16" x14ac:dyDescent="0.2">
      <c r="B17" s="8" t="s">
        <v>109</v>
      </c>
      <c r="C17" s="320">
        <v>4.5289999999999999</v>
      </c>
      <c r="D17" s="320">
        <v>5.2249999999999996</v>
      </c>
      <c r="E17" s="321">
        <v>5.2249999999999996</v>
      </c>
      <c r="F17" s="322">
        <v>2.4249999999999998</v>
      </c>
      <c r="G17" s="272"/>
      <c r="H17" s="347" t="s">
        <v>449</v>
      </c>
      <c r="I17" s="270">
        <v>0</v>
      </c>
      <c r="J17" s="270">
        <v>0</v>
      </c>
      <c r="K17" s="284">
        <v>0</v>
      </c>
      <c r="L17" s="271">
        <v>7.65</v>
      </c>
    </row>
    <row r="18" spans="2:16" x14ac:dyDescent="0.2">
      <c r="B18" s="7" t="s">
        <v>283</v>
      </c>
      <c r="C18" s="268">
        <v>5.5759999999999996</v>
      </c>
      <c r="D18" s="268">
        <v>6.9189999999999996</v>
      </c>
      <c r="E18" s="288">
        <v>7.65</v>
      </c>
      <c r="F18" s="289">
        <v>0</v>
      </c>
      <c r="G18" s="49"/>
      <c r="H18" t="s">
        <v>309</v>
      </c>
      <c r="I18" s="72">
        <v>1.466</v>
      </c>
      <c r="J18" s="72">
        <v>2.2250000000000001</v>
      </c>
      <c r="K18" s="179">
        <v>2.2250000000000001</v>
      </c>
      <c r="L18" s="285">
        <v>5.4249999999999998</v>
      </c>
    </row>
    <row r="19" spans="2:16" x14ac:dyDescent="0.2">
      <c r="B19" s="52" t="s">
        <v>31</v>
      </c>
      <c r="C19" s="270">
        <v>3.1520000000000001</v>
      </c>
      <c r="D19" s="270">
        <v>5.7249999999999996</v>
      </c>
      <c r="E19" s="284">
        <v>5.7249999999999996</v>
      </c>
      <c r="F19" s="271">
        <v>1.925</v>
      </c>
      <c r="G19" s="58"/>
      <c r="H19" s="52" t="s">
        <v>183</v>
      </c>
      <c r="I19" s="270">
        <v>3.74</v>
      </c>
      <c r="J19" s="270">
        <v>5.65</v>
      </c>
      <c r="K19" s="284">
        <v>5.65</v>
      </c>
      <c r="L19" s="271">
        <v>2</v>
      </c>
    </row>
    <row r="20" spans="2:16" x14ac:dyDescent="0.2">
      <c r="B20" t="s">
        <v>279</v>
      </c>
      <c r="C20" s="72">
        <v>5.1269999999999998</v>
      </c>
      <c r="D20" s="72">
        <v>7</v>
      </c>
      <c r="E20" s="179">
        <v>7</v>
      </c>
      <c r="F20" s="285">
        <v>0.65</v>
      </c>
      <c r="G20" s="49"/>
      <c r="H20" t="s">
        <v>151</v>
      </c>
      <c r="I20" s="72">
        <v>0.82299999999999995</v>
      </c>
      <c r="J20" s="72">
        <v>2.2210000000000001</v>
      </c>
      <c r="K20" s="179">
        <v>2.2250000000000001</v>
      </c>
      <c r="L20" s="285">
        <v>5.4249999999999998</v>
      </c>
      <c r="P20" s="72"/>
    </row>
    <row r="21" spans="2:16" x14ac:dyDescent="0.2">
      <c r="B21" s="52" t="s">
        <v>280</v>
      </c>
      <c r="C21" s="270">
        <v>2.75</v>
      </c>
      <c r="D21" s="270">
        <v>2.964</v>
      </c>
      <c r="E21" s="284">
        <v>4.2249999999999996</v>
      </c>
      <c r="F21" s="271">
        <v>3.4249999999999998</v>
      </c>
      <c r="G21" s="58"/>
      <c r="H21" s="140" t="s">
        <v>221</v>
      </c>
      <c r="I21" s="269">
        <v>6.5659999999999998</v>
      </c>
      <c r="J21" s="269">
        <v>7.65</v>
      </c>
      <c r="K21" s="286">
        <v>7.65</v>
      </c>
      <c r="L21" s="287">
        <v>0</v>
      </c>
      <c r="M21" s="268"/>
    </row>
    <row r="22" spans="2:16" x14ac:dyDescent="0.2">
      <c r="B22" t="s">
        <v>243</v>
      </c>
      <c r="C22" s="72">
        <v>3.1259999999999999</v>
      </c>
      <c r="D22" s="72">
        <v>3.948</v>
      </c>
      <c r="E22" s="179">
        <v>4.2249999999999996</v>
      </c>
      <c r="F22" s="285">
        <v>3.4249999999999998</v>
      </c>
      <c r="G22" s="49"/>
      <c r="H22" t="s">
        <v>254</v>
      </c>
      <c r="I22" s="72">
        <v>1.9990000000000001</v>
      </c>
      <c r="J22" s="72">
        <v>2.2250000000000001</v>
      </c>
      <c r="K22" s="179">
        <v>2.2250000000000001</v>
      </c>
      <c r="L22" s="285">
        <v>5.4249999999999998</v>
      </c>
    </row>
    <row r="23" spans="2:16" x14ac:dyDescent="0.2">
      <c r="B23" s="52" t="s">
        <v>304</v>
      </c>
      <c r="C23" s="270">
        <v>4.6559999999999997</v>
      </c>
      <c r="D23" s="270">
        <v>6.0620000000000003</v>
      </c>
      <c r="E23" s="284">
        <v>6.2249999999999996</v>
      </c>
      <c r="F23" s="271">
        <v>1.425</v>
      </c>
      <c r="G23" s="58"/>
      <c r="H23" s="52" t="s">
        <v>284</v>
      </c>
      <c r="I23" s="270">
        <v>1.026</v>
      </c>
      <c r="J23" s="270">
        <v>2.34</v>
      </c>
      <c r="K23" s="284">
        <v>2.34</v>
      </c>
      <c r="L23" s="271">
        <v>5.31</v>
      </c>
    </row>
    <row r="24" spans="2:16" x14ac:dyDescent="0.2">
      <c r="B24" t="s">
        <v>235</v>
      </c>
      <c r="C24" s="72">
        <v>6.2160000000000002</v>
      </c>
      <c r="D24" s="72">
        <v>7.2249999999999996</v>
      </c>
      <c r="E24" s="179">
        <v>7.2249999999999996</v>
      </c>
      <c r="F24" s="285">
        <v>0.42499999999999999</v>
      </c>
      <c r="G24" s="49"/>
      <c r="H24" s="7" t="s">
        <v>188</v>
      </c>
      <c r="I24" s="268">
        <v>2.5369999999999999</v>
      </c>
      <c r="J24" s="268">
        <v>7.65</v>
      </c>
      <c r="K24" s="288">
        <v>7.65</v>
      </c>
      <c r="L24" s="289">
        <v>0</v>
      </c>
    </row>
    <row r="25" spans="2:16" x14ac:dyDescent="0.2">
      <c r="B25" s="52" t="s">
        <v>195</v>
      </c>
      <c r="C25" s="270">
        <v>1.3839999999999999</v>
      </c>
      <c r="D25" s="270">
        <v>2.2250000000000001</v>
      </c>
      <c r="E25" s="284">
        <v>2.2250000000000001</v>
      </c>
      <c r="F25" s="271">
        <v>5.4249999999999998</v>
      </c>
      <c r="G25" s="58"/>
      <c r="H25" s="52" t="s">
        <v>220</v>
      </c>
      <c r="I25" s="270">
        <v>2.0910000000000002</v>
      </c>
      <c r="J25" s="270">
        <v>1.9430000000000001</v>
      </c>
      <c r="K25" s="284">
        <v>2.2250000000000001</v>
      </c>
      <c r="L25" s="271">
        <v>5.4249999999999998</v>
      </c>
    </row>
    <row r="26" spans="2:16" x14ac:dyDescent="0.2">
      <c r="B26" s="335" t="s">
        <v>155</v>
      </c>
      <c r="C26" s="344">
        <v>4.3789999999999996</v>
      </c>
      <c r="D26" s="344">
        <v>4.7949999999999999</v>
      </c>
      <c r="E26" s="345">
        <v>5.2249999999999996</v>
      </c>
      <c r="F26" s="346">
        <v>2.4249999999999998</v>
      </c>
      <c r="G26" s="273"/>
      <c r="H26" t="s">
        <v>146</v>
      </c>
      <c r="I26" s="72">
        <v>1.341</v>
      </c>
      <c r="J26" s="72">
        <v>2.2250000000000001</v>
      </c>
      <c r="K26" s="179">
        <v>2.2250000000000001</v>
      </c>
      <c r="L26" s="285">
        <v>5.4249999999999998</v>
      </c>
    </row>
    <row r="27" spans="2:16" x14ac:dyDescent="0.2">
      <c r="B27" s="140" t="s">
        <v>203</v>
      </c>
      <c r="C27" s="269">
        <v>5.6669999999999998</v>
      </c>
      <c r="D27" s="269">
        <v>7.65</v>
      </c>
      <c r="E27" s="286">
        <v>7.65</v>
      </c>
      <c r="F27" s="287">
        <v>0</v>
      </c>
      <c r="G27" s="58"/>
      <c r="H27" s="140" t="s">
        <v>225</v>
      </c>
      <c r="I27" s="269">
        <v>4.9820000000000002</v>
      </c>
      <c r="J27" s="269">
        <v>7.65</v>
      </c>
      <c r="K27" s="286">
        <v>7.65</v>
      </c>
      <c r="L27" s="287">
        <v>0</v>
      </c>
    </row>
    <row r="28" spans="2:16" x14ac:dyDescent="0.2">
      <c r="B28" t="s">
        <v>253</v>
      </c>
      <c r="C28" s="72">
        <v>4.8099999999999996</v>
      </c>
      <c r="D28" s="72">
        <v>4.9379999999999997</v>
      </c>
      <c r="E28" s="179">
        <v>4.9379999999999997</v>
      </c>
      <c r="F28" s="285">
        <v>2.7120000000000002</v>
      </c>
      <c r="G28" s="49"/>
      <c r="H28" t="s">
        <v>307</v>
      </c>
      <c r="I28" s="72">
        <v>0.442</v>
      </c>
      <c r="J28" s="72">
        <v>1.698</v>
      </c>
      <c r="K28" s="179">
        <v>2.2250000000000001</v>
      </c>
      <c r="L28" s="285">
        <v>5.4249999999999998</v>
      </c>
    </row>
    <row r="29" spans="2:16" x14ac:dyDescent="0.2">
      <c r="B29" s="52" t="s">
        <v>314</v>
      </c>
      <c r="C29" s="270">
        <v>0.82599999999999996</v>
      </c>
      <c r="D29" s="270">
        <v>2.202</v>
      </c>
      <c r="E29" s="284">
        <v>2.2250000000000001</v>
      </c>
      <c r="F29" s="271">
        <v>5.4249999999999998</v>
      </c>
      <c r="G29" s="58"/>
      <c r="H29" s="347" t="s">
        <v>287</v>
      </c>
      <c r="I29" s="270">
        <v>2.9470000000000001</v>
      </c>
      <c r="J29" s="270">
        <v>2.72</v>
      </c>
      <c r="K29" s="284">
        <v>3</v>
      </c>
      <c r="L29" s="271">
        <v>4.6500000000000004</v>
      </c>
    </row>
    <row r="30" spans="2:16" x14ac:dyDescent="0.2">
      <c r="B30" s="335" t="s">
        <v>246</v>
      </c>
      <c r="C30" s="344">
        <v>4.524</v>
      </c>
      <c r="D30" s="344">
        <v>4.7249999999999996</v>
      </c>
      <c r="E30" s="345">
        <v>4.7249999999999996</v>
      </c>
      <c r="F30" s="346">
        <v>2.9249999999999998</v>
      </c>
      <c r="G30" s="273"/>
      <c r="H30" t="s">
        <v>178</v>
      </c>
      <c r="I30" s="72">
        <v>2.7959999999999998</v>
      </c>
      <c r="J30" s="72">
        <v>3.1920000000000002</v>
      </c>
      <c r="K30" s="179">
        <v>3.2250000000000001</v>
      </c>
      <c r="L30" s="285">
        <v>4.4249999999999998</v>
      </c>
    </row>
    <row r="31" spans="2:16" x14ac:dyDescent="0.2">
      <c r="B31" s="140" t="s">
        <v>271</v>
      </c>
      <c r="C31" s="269">
        <v>3.3519999999999999</v>
      </c>
      <c r="D31" s="269">
        <v>6.3319999999999999</v>
      </c>
      <c r="E31" s="286">
        <v>7.65</v>
      </c>
      <c r="F31" s="287">
        <v>0</v>
      </c>
      <c r="G31" s="58"/>
      <c r="H31" s="52" t="s">
        <v>175</v>
      </c>
      <c r="I31" s="270">
        <v>4.4210000000000003</v>
      </c>
      <c r="J31" s="270">
        <v>4.4379999999999997</v>
      </c>
      <c r="K31" s="284">
        <v>5.2249999999999996</v>
      </c>
      <c r="L31" s="271">
        <v>2.4249999999999998</v>
      </c>
    </row>
    <row r="32" spans="2:16" x14ac:dyDescent="0.2">
      <c r="B32" t="s">
        <v>239</v>
      </c>
      <c r="C32" s="72">
        <v>3.8730000000000002</v>
      </c>
      <c r="D32" s="72">
        <v>4.4249999999999998</v>
      </c>
      <c r="E32" s="179">
        <v>4.4249999999999998</v>
      </c>
      <c r="F32" s="285">
        <v>3.2250000000000001</v>
      </c>
      <c r="G32" s="49"/>
      <c r="H32" s="7" t="s">
        <v>212</v>
      </c>
      <c r="I32" s="268">
        <v>6.58</v>
      </c>
      <c r="J32" s="268">
        <v>7.65</v>
      </c>
      <c r="K32" s="288">
        <v>7.65</v>
      </c>
      <c r="L32" s="289">
        <v>0</v>
      </c>
    </row>
    <row r="33" spans="2:12" x14ac:dyDescent="0.2">
      <c r="B33" s="8" t="s">
        <v>90</v>
      </c>
      <c r="C33" s="320">
        <v>3.778</v>
      </c>
      <c r="D33" s="320">
        <v>6.87</v>
      </c>
      <c r="E33" s="321">
        <v>6.87</v>
      </c>
      <c r="F33" s="322">
        <v>0.78</v>
      </c>
      <c r="G33" s="272"/>
      <c r="H33" s="140" t="s">
        <v>179</v>
      </c>
      <c r="I33" s="269">
        <v>6.3520000000000003</v>
      </c>
      <c r="J33" s="269">
        <v>7.5259999999999998</v>
      </c>
      <c r="K33" s="286">
        <v>7.65</v>
      </c>
      <c r="L33" s="287">
        <v>0</v>
      </c>
    </row>
    <row r="34" spans="2:12" x14ac:dyDescent="0.2">
      <c r="B34" s="7" t="s">
        <v>236</v>
      </c>
      <c r="C34" s="268">
        <v>3.6619999999999999</v>
      </c>
      <c r="D34" s="268">
        <v>7.5709999999999997</v>
      </c>
      <c r="E34" s="288">
        <v>7.65</v>
      </c>
      <c r="F34" s="289">
        <v>0</v>
      </c>
      <c r="G34" s="49"/>
      <c r="H34" t="s">
        <v>118</v>
      </c>
      <c r="I34" s="72">
        <v>2.1909999999999998</v>
      </c>
      <c r="J34" s="72">
        <v>2.2250000000000001</v>
      </c>
      <c r="K34" s="179">
        <v>2.2250000000000001</v>
      </c>
      <c r="L34" s="285">
        <v>5.4249999999999998</v>
      </c>
    </row>
    <row r="35" spans="2:12" x14ac:dyDescent="0.2">
      <c r="B35" s="52" t="s">
        <v>267</v>
      </c>
      <c r="C35" s="270">
        <v>4.4749999999999996</v>
      </c>
      <c r="D35" s="270">
        <v>4.4749999999999996</v>
      </c>
      <c r="E35" s="284">
        <v>4.4749999999999996</v>
      </c>
      <c r="F35" s="271">
        <v>3.1749999999999998</v>
      </c>
      <c r="G35" s="58"/>
      <c r="H35" s="347" t="s">
        <v>482</v>
      </c>
      <c r="I35" s="348">
        <v>2.72</v>
      </c>
      <c r="J35" s="348">
        <v>2.75</v>
      </c>
      <c r="K35" s="349">
        <v>2.75</v>
      </c>
      <c r="L35" s="350">
        <v>4.9000000000000004</v>
      </c>
    </row>
    <row r="36" spans="2:12" x14ac:dyDescent="0.2">
      <c r="B36" t="s">
        <v>255</v>
      </c>
      <c r="C36" s="72">
        <v>3.7519999999999998</v>
      </c>
      <c r="D36" s="72">
        <v>4.9379999999999997</v>
      </c>
      <c r="E36" s="179">
        <v>4.9379999999999997</v>
      </c>
      <c r="F36" s="285">
        <v>2.7120000000000002</v>
      </c>
      <c r="G36" s="49"/>
      <c r="H36" s="7" t="s">
        <v>95</v>
      </c>
      <c r="I36" s="268">
        <v>7.1159999999999997</v>
      </c>
      <c r="J36" s="268">
        <v>7.65</v>
      </c>
      <c r="K36" s="288">
        <v>7.65</v>
      </c>
      <c r="L36" s="289">
        <v>0</v>
      </c>
    </row>
    <row r="37" spans="2:12" x14ac:dyDescent="0.2">
      <c r="B37" s="52" t="s">
        <v>148</v>
      </c>
      <c r="C37" s="270">
        <v>1.155</v>
      </c>
      <c r="D37" s="270">
        <v>2.2250000000000001</v>
      </c>
      <c r="E37" s="284">
        <v>2.2250000000000001</v>
      </c>
      <c r="F37" s="271">
        <v>5.4249999999999998</v>
      </c>
      <c r="G37" s="58"/>
      <c r="H37" s="140" t="s">
        <v>138</v>
      </c>
      <c r="I37" s="269">
        <v>6.7590000000000003</v>
      </c>
      <c r="J37" s="269">
        <v>7.65</v>
      </c>
      <c r="K37" s="286">
        <v>7.65</v>
      </c>
      <c r="L37" s="287">
        <v>0</v>
      </c>
    </row>
    <row r="38" spans="2:12" x14ac:dyDescent="0.2">
      <c r="B38" t="s">
        <v>201</v>
      </c>
      <c r="C38" s="72">
        <v>1.5569999999999999</v>
      </c>
      <c r="D38" s="72">
        <v>2.2250000000000001</v>
      </c>
      <c r="E38" s="179">
        <v>2.2250000000000001</v>
      </c>
      <c r="F38" s="285">
        <v>5.4249999999999998</v>
      </c>
      <c r="G38" s="49"/>
      <c r="H38" t="s">
        <v>140</v>
      </c>
      <c r="I38" s="72">
        <v>1.4570000000000001</v>
      </c>
      <c r="J38" s="72">
        <v>2.2250000000000001</v>
      </c>
      <c r="K38" s="179">
        <v>2.2250000000000001</v>
      </c>
      <c r="L38" s="285">
        <v>5.4249999999999998</v>
      </c>
    </row>
    <row r="39" spans="2:12" x14ac:dyDescent="0.2">
      <c r="B39" s="52" t="s">
        <v>206</v>
      </c>
      <c r="C39" s="270">
        <v>1.8049999999999999</v>
      </c>
      <c r="D39" s="270">
        <v>3.2250000000000001</v>
      </c>
      <c r="E39" s="284">
        <v>3.2250000000000001</v>
      </c>
      <c r="F39" s="271">
        <v>4.4249999999999998</v>
      </c>
      <c r="G39" s="58"/>
      <c r="H39" s="347" t="s">
        <v>228</v>
      </c>
      <c r="I39" s="348">
        <v>5.2439999999999998</v>
      </c>
      <c r="J39" s="348">
        <v>4.1849999999999996</v>
      </c>
      <c r="K39" s="349">
        <v>6.3680000000000003</v>
      </c>
      <c r="L39" s="350">
        <v>1.282</v>
      </c>
    </row>
    <row r="40" spans="2:12" x14ac:dyDescent="0.2">
      <c r="B40" s="335" t="s">
        <v>100</v>
      </c>
      <c r="C40" s="72">
        <v>2.794</v>
      </c>
      <c r="D40" s="72">
        <v>3</v>
      </c>
      <c r="E40" s="179">
        <v>3</v>
      </c>
      <c r="F40" s="285">
        <v>4.6500000000000004</v>
      </c>
      <c r="G40" s="49"/>
      <c r="H40" s="7" t="s">
        <v>232</v>
      </c>
      <c r="I40" s="268">
        <v>4.9279999999999999</v>
      </c>
      <c r="J40" s="268">
        <v>7.65</v>
      </c>
      <c r="K40" s="288">
        <v>7.65</v>
      </c>
      <c r="L40" s="289">
        <v>0</v>
      </c>
    </row>
    <row r="41" spans="2:12" x14ac:dyDescent="0.2">
      <c r="B41" s="52" t="s">
        <v>136</v>
      </c>
      <c r="C41" s="270">
        <v>4.2110000000000003</v>
      </c>
      <c r="D41" s="270">
        <v>4.2249999999999996</v>
      </c>
      <c r="E41" s="284">
        <v>4.2249999999999996</v>
      </c>
      <c r="F41" s="271">
        <v>3.4249999999999998</v>
      </c>
      <c r="G41" s="58"/>
      <c r="H41" s="140" t="s">
        <v>116</v>
      </c>
      <c r="I41" s="269">
        <v>5.0449999999999999</v>
      </c>
      <c r="J41" s="269">
        <v>7.65</v>
      </c>
      <c r="K41" s="286">
        <v>7.65</v>
      </c>
      <c r="L41" s="287">
        <v>0</v>
      </c>
    </row>
    <row r="42" spans="2:12" x14ac:dyDescent="0.2">
      <c r="B42" t="s">
        <v>184</v>
      </c>
      <c r="C42" s="72">
        <v>1.5329999999999999</v>
      </c>
      <c r="D42" s="72">
        <v>1.8160000000000001</v>
      </c>
      <c r="E42" s="179">
        <v>2.2250000000000001</v>
      </c>
      <c r="F42" s="285">
        <v>5.4249999999999998</v>
      </c>
      <c r="G42" s="49"/>
      <c r="H42" s="7" t="s">
        <v>244</v>
      </c>
      <c r="I42" s="268">
        <v>6.7770000000000001</v>
      </c>
      <c r="J42" s="268">
        <v>6.89</v>
      </c>
      <c r="K42" s="288">
        <v>7.65</v>
      </c>
      <c r="L42" s="289">
        <v>0</v>
      </c>
    </row>
    <row r="43" spans="2:12" x14ac:dyDescent="0.2">
      <c r="B43" s="8" t="s">
        <v>230</v>
      </c>
      <c r="C43" s="320">
        <v>1.7509999999999999</v>
      </c>
      <c r="D43" s="320">
        <v>1.6259999999999999</v>
      </c>
      <c r="E43" s="321">
        <v>2.2250000000000001</v>
      </c>
      <c r="F43" s="322">
        <v>5.4249999999999998</v>
      </c>
      <c r="G43" s="272"/>
      <c r="H43" s="52" t="s">
        <v>114</v>
      </c>
      <c r="I43" s="270">
        <v>2.835</v>
      </c>
      <c r="J43" s="270">
        <v>4.2249999999999996</v>
      </c>
      <c r="K43" s="284">
        <v>4.2249999999999996</v>
      </c>
      <c r="L43" s="271">
        <v>3.4249999999999998</v>
      </c>
    </row>
    <row r="44" spans="2:12" x14ac:dyDescent="0.2">
      <c r="B44" s="7" t="s">
        <v>93</v>
      </c>
      <c r="C44" s="268">
        <v>3.62</v>
      </c>
      <c r="D44" s="268">
        <v>7.5579999999999998</v>
      </c>
      <c r="E44" s="288">
        <v>7.65</v>
      </c>
      <c r="F44" s="289">
        <v>0</v>
      </c>
      <c r="G44" s="49"/>
      <c r="H44" t="s">
        <v>56</v>
      </c>
      <c r="I44" s="72">
        <v>1.5229999999999999</v>
      </c>
      <c r="J44" s="72">
        <v>3.1829999999999998</v>
      </c>
      <c r="K44" s="179">
        <v>3.1829999999999998</v>
      </c>
      <c r="L44" s="285">
        <v>4.4669999999999996</v>
      </c>
    </row>
    <row r="45" spans="2:12" x14ac:dyDescent="0.2">
      <c r="B45" s="8" t="s">
        <v>210</v>
      </c>
      <c r="C45" s="320">
        <v>2.3450000000000002</v>
      </c>
      <c r="D45" s="320">
        <v>2.75</v>
      </c>
      <c r="E45" s="321">
        <v>2.75</v>
      </c>
      <c r="F45" s="322">
        <v>4.9000000000000004</v>
      </c>
      <c r="G45" s="272"/>
      <c r="H45" s="52" t="s">
        <v>127</v>
      </c>
      <c r="I45" s="270">
        <v>4.4690000000000003</v>
      </c>
      <c r="J45" s="270">
        <v>4.9379999999999997</v>
      </c>
      <c r="K45" s="284">
        <v>4.9379999999999997</v>
      </c>
      <c r="L45" s="271">
        <v>2.7120000000000002</v>
      </c>
    </row>
    <row r="46" spans="2:12" x14ac:dyDescent="0.2">
      <c r="B46" s="7" t="s">
        <v>190</v>
      </c>
      <c r="C46" s="268">
        <v>5.391</v>
      </c>
      <c r="D46" s="268">
        <v>7.65</v>
      </c>
      <c r="E46" s="288">
        <v>7.65</v>
      </c>
      <c r="F46" s="289">
        <v>0</v>
      </c>
      <c r="G46" s="49"/>
      <c r="H46" t="s">
        <v>97</v>
      </c>
      <c r="I46" s="72">
        <v>2.7570000000000001</v>
      </c>
      <c r="J46" s="72">
        <v>3.8250000000000002</v>
      </c>
      <c r="K46" s="179">
        <v>3.8250000000000002</v>
      </c>
      <c r="L46" s="285">
        <v>3.8250000000000002</v>
      </c>
    </row>
    <row r="47" spans="2:12" x14ac:dyDescent="0.2">
      <c r="B47" s="52" t="s">
        <v>276</v>
      </c>
      <c r="C47" s="270">
        <v>1.506</v>
      </c>
      <c r="D47" s="270">
        <v>2.2250000000000001</v>
      </c>
      <c r="E47" s="284">
        <v>2.2250000000000001</v>
      </c>
      <c r="F47" s="271">
        <v>5.4249999999999998</v>
      </c>
      <c r="G47" s="58"/>
      <c r="H47" s="347" t="s">
        <v>58</v>
      </c>
      <c r="I47" s="348">
        <v>5.53</v>
      </c>
      <c r="J47" s="348">
        <v>5.7460000000000004</v>
      </c>
      <c r="K47" s="349">
        <v>5.8129999999999997</v>
      </c>
      <c r="L47" s="350">
        <v>1.837</v>
      </c>
    </row>
    <row r="48" spans="2:12" x14ac:dyDescent="0.2">
      <c r="B48" t="s">
        <v>191</v>
      </c>
      <c r="C48" s="72">
        <v>1.5329999999999999</v>
      </c>
      <c r="D48" s="72">
        <v>2.2250000000000001</v>
      </c>
      <c r="E48" s="179">
        <v>2.2250000000000001</v>
      </c>
      <c r="F48" s="285">
        <v>5.4249999999999998</v>
      </c>
      <c r="G48" s="49"/>
      <c r="H48" s="7" t="s">
        <v>218</v>
      </c>
      <c r="I48" s="268">
        <v>6.17</v>
      </c>
      <c r="J48" s="268">
        <v>7.65</v>
      </c>
      <c r="K48" s="288">
        <v>7.65</v>
      </c>
      <c r="L48" s="289">
        <v>0</v>
      </c>
    </row>
    <row r="49" spans="2:12" x14ac:dyDescent="0.2">
      <c r="B49" s="52" t="s">
        <v>260</v>
      </c>
      <c r="C49" s="270">
        <v>3.18</v>
      </c>
      <c r="D49" s="270">
        <v>5.4249999999999998</v>
      </c>
      <c r="E49" s="284">
        <v>5.4249999999999998</v>
      </c>
      <c r="F49" s="271">
        <v>2.2250000000000001</v>
      </c>
      <c r="G49" s="58"/>
      <c r="H49" s="140" t="s">
        <v>289</v>
      </c>
      <c r="I49" s="269">
        <v>6.6289999999999996</v>
      </c>
      <c r="J49" s="269">
        <v>7.65</v>
      </c>
      <c r="K49" s="286">
        <v>7.65</v>
      </c>
      <c r="L49" s="287">
        <v>0</v>
      </c>
    </row>
    <row r="50" spans="2:12" x14ac:dyDescent="0.2">
      <c r="B50" s="6" t="s">
        <v>274</v>
      </c>
      <c r="C50" s="253">
        <v>1.919</v>
      </c>
      <c r="D50" s="253">
        <v>2.1280000000000001</v>
      </c>
      <c r="E50" s="323">
        <v>2.2250000000000001</v>
      </c>
      <c r="F50" s="324">
        <v>5.4249999999999998</v>
      </c>
      <c r="G50" s="273"/>
      <c r="H50" t="s">
        <v>59</v>
      </c>
      <c r="I50" s="72">
        <v>2.7389999999999999</v>
      </c>
      <c r="J50" s="72">
        <v>4.2119999999999997</v>
      </c>
      <c r="K50" s="179">
        <v>4.2249999999999996</v>
      </c>
      <c r="L50" s="285">
        <v>3.4249999999999998</v>
      </c>
    </row>
    <row r="51" spans="2:12" x14ac:dyDescent="0.2">
      <c r="B51" s="140" t="s">
        <v>278</v>
      </c>
      <c r="C51" s="269">
        <v>6.6260000000000003</v>
      </c>
      <c r="D51" s="269">
        <v>7.65</v>
      </c>
      <c r="E51" s="286">
        <v>7.65</v>
      </c>
      <c r="F51" s="287">
        <v>0</v>
      </c>
      <c r="G51" s="315"/>
      <c r="H51" s="315" t="s">
        <v>186</v>
      </c>
      <c r="I51" s="269">
        <v>7.5350000000000001</v>
      </c>
      <c r="J51" s="269">
        <v>7.65</v>
      </c>
      <c r="K51" s="286">
        <v>7.65</v>
      </c>
      <c r="L51" s="287">
        <v>0</v>
      </c>
    </row>
    <row r="52" spans="2:12" x14ac:dyDescent="0.2">
      <c r="B52" s="7" t="s">
        <v>257</v>
      </c>
      <c r="C52" s="268">
        <v>5.984</v>
      </c>
      <c r="D52" s="268">
        <v>7.65</v>
      </c>
      <c r="E52" s="288">
        <v>7.65</v>
      </c>
      <c r="F52" s="289">
        <v>0</v>
      </c>
      <c r="G52" s="49"/>
      <c r="H52" s="335" t="s">
        <v>204</v>
      </c>
      <c r="I52" s="344">
        <v>3.1219999999999999</v>
      </c>
      <c r="J52" s="344">
        <v>4.2249999999999996</v>
      </c>
      <c r="K52" s="345">
        <v>4.2249999999999996</v>
      </c>
      <c r="L52" s="346">
        <v>3.4249999999999998</v>
      </c>
    </row>
    <row r="53" spans="2:12" x14ac:dyDescent="0.2">
      <c r="B53" s="8" t="s">
        <v>181</v>
      </c>
      <c r="C53" s="320">
        <v>4.3010000000000002</v>
      </c>
      <c r="D53" s="320">
        <v>4.5549999999999997</v>
      </c>
      <c r="E53" s="321">
        <v>4.5549999999999997</v>
      </c>
      <c r="F53" s="322">
        <v>3.0950000000000002</v>
      </c>
      <c r="G53" s="272"/>
      <c r="H53" s="52" t="s">
        <v>250</v>
      </c>
      <c r="I53" s="270">
        <v>2.016</v>
      </c>
      <c r="J53" s="270">
        <v>2.2250000000000001</v>
      </c>
      <c r="K53" s="284">
        <v>2.2250000000000001</v>
      </c>
      <c r="L53" s="271">
        <v>5.4249999999999998</v>
      </c>
    </row>
    <row r="54" spans="2:12" x14ac:dyDescent="0.2">
      <c r="B54" s="7" t="s">
        <v>263</v>
      </c>
      <c r="C54" s="268">
        <v>6.931</v>
      </c>
      <c r="D54" s="268">
        <v>7.65</v>
      </c>
      <c r="E54" s="288">
        <v>7.65</v>
      </c>
      <c r="F54" s="289">
        <v>0</v>
      </c>
      <c r="G54" s="49"/>
      <c r="H54" t="s">
        <v>86</v>
      </c>
      <c r="I54" s="72">
        <v>0.88600000000000001</v>
      </c>
      <c r="J54" s="72">
        <v>2.2250000000000001</v>
      </c>
      <c r="K54" s="179">
        <v>2.2250000000000001</v>
      </c>
      <c r="L54" s="285">
        <v>5.4249999999999998</v>
      </c>
    </row>
    <row r="55" spans="2:12" x14ac:dyDescent="0.2">
      <c r="B55" s="52" t="s">
        <v>144</v>
      </c>
      <c r="C55" s="270">
        <v>1.736</v>
      </c>
      <c r="D55" s="270">
        <v>2.2250000000000001</v>
      </c>
      <c r="E55" s="284">
        <v>2.2250000000000001</v>
      </c>
      <c r="F55" s="271">
        <v>5.4249999999999998</v>
      </c>
      <c r="G55" s="58"/>
      <c r="H55" s="347" t="s">
        <v>570</v>
      </c>
      <c r="I55" s="348">
        <v>1.544</v>
      </c>
      <c r="J55" s="348">
        <v>2.2250000000000001</v>
      </c>
      <c r="K55" s="349">
        <v>2.2250000000000001</v>
      </c>
      <c r="L55" s="350">
        <v>5.4249999999999998</v>
      </c>
    </row>
    <row r="56" spans="2:12" x14ac:dyDescent="0.2">
      <c r="B56" t="s">
        <v>292</v>
      </c>
      <c r="C56" s="72">
        <v>5.48</v>
      </c>
      <c r="D56" s="72">
        <v>5.5</v>
      </c>
      <c r="E56" s="179">
        <v>5.5</v>
      </c>
      <c r="F56" s="285">
        <v>2.15</v>
      </c>
      <c r="G56" s="49"/>
      <c r="H56" s="7" t="s">
        <v>99</v>
      </c>
      <c r="I56" s="268">
        <v>3.7</v>
      </c>
      <c r="J56" s="268">
        <v>7.65</v>
      </c>
      <c r="K56" s="288">
        <v>7.65</v>
      </c>
      <c r="L56" s="289">
        <v>0</v>
      </c>
    </row>
    <row r="57" spans="2:12" x14ac:dyDescent="0.2">
      <c r="B57" s="8" t="s">
        <v>193</v>
      </c>
      <c r="C57" s="320">
        <v>3.9860000000000002</v>
      </c>
      <c r="D57" s="320">
        <v>5.5549999999999997</v>
      </c>
      <c r="E57" s="321">
        <v>5.5549999999999997</v>
      </c>
      <c r="F57" s="322">
        <v>2.0950000000000002</v>
      </c>
      <c r="G57" s="272"/>
      <c r="H57" s="140" t="s">
        <v>311</v>
      </c>
      <c r="I57" s="269">
        <v>5.4009999999999998</v>
      </c>
      <c r="J57" s="269">
        <v>7.65</v>
      </c>
      <c r="K57" s="286">
        <v>7.65</v>
      </c>
      <c r="L57" s="287">
        <v>0</v>
      </c>
    </row>
    <row r="58" spans="2:12" x14ac:dyDescent="0.2">
      <c r="B58" s="7" t="s">
        <v>78</v>
      </c>
      <c r="C58" s="268">
        <v>4.1040000000000001</v>
      </c>
      <c r="D58" s="268">
        <v>7.65</v>
      </c>
      <c r="E58" s="288">
        <v>7.65</v>
      </c>
      <c r="F58" s="289">
        <v>0</v>
      </c>
      <c r="G58" s="273"/>
      <c r="H58" s="7" t="s">
        <v>133</v>
      </c>
      <c r="I58" s="268">
        <v>7.65</v>
      </c>
      <c r="J58" s="268">
        <v>7.65</v>
      </c>
      <c r="K58" s="288">
        <v>7.65</v>
      </c>
      <c r="L58" s="289">
        <v>0</v>
      </c>
    </row>
    <row r="59" spans="2:12" x14ac:dyDescent="0.2">
      <c r="B59" s="140" t="s">
        <v>105</v>
      </c>
      <c r="C59" s="269">
        <v>6.7089999999999996</v>
      </c>
      <c r="D59" s="269">
        <v>6.8</v>
      </c>
      <c r="E59" s="286">
        <v>7.65</v>
      </c>
      <c r="F59" s="287">
        <v>0</v>
      </c>
      <c r="G59" s="58"/>
      <c r="H59" s="347" t="s">
        <v>169</v>
      </c>
      <c r="I59" s="348">
        <v>1.129</v>
      </c>
      <c r="J59" s="348">
        <v>2</v>
      </c>
      <c r="K59" s="349">
        <v>2.2250000000000001</v>
      </c>
      <c r="L59" s="350">
        <v>5.4249999999999998</v>
      </c>
    </row>
    <row r="60" spans="2:12" x14ac:dyDescent="0.2">
      <c r="B60" s="6" t="s">
        <v>103</v>
      </c>
      <c r="C60" s="253">
        <v>4.4660000000000002</v>
      </c>
      <c r="D60" s="253">
        <v>5.2249999999999996</v>
      </c>
      <c r="E60" s="323">
        <v>5.2249999999999996</v>
      </c>
      <c r="F60" s="324">
        <v>2.4249999999999998</v>
      </c>
      <c r="G60" s="273"/>
      <c r="H60" s="7" t="s">
        <v>291</v>
      </c>
      <c r="I60" s="268">
        <v>5.9470000000000001</v>
      </c>
      <c r="J60" s="268">
        <v>7.65</v>
      </c>
      <c r="K60" s="288">
        <v>7.65</v>
      </c>
      <c r="L60" s="289">
        <v>0</v>
      </c>
    </row>
    <row r="61" spans="2:12" x14ac:dyDescent="0.2">
      <c r="B61" s="140" t="s">
        <v>199</v>
      </c>
      <c r="C61" s="269">
        <v>5.6310000000000002</v>
      </c>
      <c r="D61" s="269">
        <v>7.65</v>
      </c>
      <c r="E61" s="286">
        <v>7.65</v>
      </c>
      <c r="F61" s="287">
        <v>0</v>
      </c>
      <c r="G61" s="58"/>
      <c r="H61" s="52" t="s">
        <v>216</v>
      </c>
      <c r="I61" s="270">
        <v>5.0720000000000001</v>
      </c>
      <c r="J61" s="270">
        <v>5.2249999999999996</v>
      </c>
      <c r="K61" s="284">
        <v>5.2249999999999996</v>
      </c>
      <c r="L61" s="271">
        <v>2.4249999999999998</v>
      </c>
    </row>
    <row r="62" spans="2:12" x14ac:dyDescent="0.2">
      <c r="B62" t="s">
        <v>240</v>
      </c>
      <c r="C62" s="72">
        <v>3.9260000000000002</v>
      </c>
      <c r="D62" s="72">
        <v>5.95</v>
      </c>
      <c r="E62" s="179">
        <v>5.95</v>
      </c>
      <c r="F62" s="285">
        <v>1.7</v>
      </c>
      <c r="G62" s="49"/>
      <c r="H62" t="s">
        <v>130</v>
      </c>
      <c r="I62" s="72">
        <v>1.72</v>
      </c>
      <c r="J62" s="384">
        <v>2.2250000000000001</v>
      </c>
      <c r="K62" s="72">
        <v>2.2250000000000001</v>
      </c>
      <c r="L62" s="285">
        <v>5.4249999999999998</v>
      </c>
    </row>
    <row r="63" spans="2:12" x14ac:dyDescent="0.2">
      <c r="B63" s="429" t="s">
        <v>538</v>
      </c>
      <c r="C63" s="426">
        <v>0</v>
      </c>
      <c r="D63" s="426">
        <v>0</v>
      </c>
      <c r="E63" s="427">
        <v>0</v>
      </c>
      <c r="F63" s="428">
        <v>7.65</v>
      </c>
      <c r="G63" s="433"/>
      <c r="H63" s="425"/>
      <c r="I63" s="430"/>
      <c r="J63" s="431"/>
      <c r="K63" s="430"/>
      <c r="L63" s="432"/>
    </row>
    <row r="64" spans="2:12" ht="13.5" thickBot="1" x14ac:dyDescent="0.25">
      <c r="B64" s="47" t="s">
        <v>153</v>
      </c>
      <c r="C64" s="434">
        <v>2.069</v>
      </c>
      <c r="D64" s="434">
        <v>2.2250000000000001</v>
      </c>
      <c r="E64" s="435">
        <v>2.2250000000000001</v>
      </c>
      <c r="F64" s="436">
        <v>5.4249999999999998</v>
      </c>
      <c r="G64" s="63"/>
      <c r="H64" s="376" t="s">
        <v>450</v>
      </c>
      <c r="I64" s="437">
        <f>(SUM(I11:I62)+SUM(C11:C64))/106</f>
        <v>3.8880754716981127</v>
      </c>
      <c r="J64" s="437">
        <f>(SUM(J11:J62)+SUM(D11:D64))/106</f>
        <v>4.9274811320754708</v>
      </c>
      <c r="K64" s="437">
        <f t="shared" ref="K64:L64" si="0">(SUM(K11:K62)+SUM(E11:E64))/106</f>
        <v>5.0461981132075469</v>
      </c>
      <c r="L64" s="437">
        <f t="shared" si="0"/>
        <v>2.6038018867924526</v>
      </c>
    </row>
    <row r="65" spans="2:19" x14ac:dyDescent="0.2">
      <c r="B65" s="6" t="s">
        <v>412</v>
      </c>
    </row>
    <row r="66" spans="2:19" ht="14.25" x14ac:dyDescent="0.2">
      <c r="B66" s="67" t="s">
        <v>420</v>
      </c>
    </row>
    <row r="67" spans="2:19" x14ac:dyDescent="0.2">
      <c r="B67" s="335" t="s">
        <v>515</v>
      </c>
    </row>
    <row r="68" spans="2:19" x14ac:dyDescent="0.2">
      <c r="C68" s="72"/>
      <c r="D68" s="72"/>
      <c r="E68" s="72"/>
      <c r="F68" s="72"/>
      <c r="G68" s="72"/>
      <c r="H68" s="72"/>
      <c r="I68" s="72"/>
      <c r="J68" s="72"/>
      <c r="K68" s="72"/>
      <c r="L68" s="72"/>
    </row>
    <row r="69" spans="2:19" ht="14.25" x14ac:dyDescent="0.2">
      <c r="B69" s="608">
        <f>'Table 18'!D56+1</f>
        <v>21</v>
      </c>
      <c r="C69" s="608"/>
      <c r="D69" s="608"/>
      <c r="E69" s="608"/>
      <c r="F69" s="608"/>
      <c r="G69" s="608"/>
      <c r="H69" s="608"/>
      <c r="I69" s="608"/>
      <c r="J69" s="608"/>
      <c r="K69" s="608"/>
      <c r="L69" s="608"/>
    </row>
    <row r="73" spans="2:19" x14ac:dyDescent="0.2">
      <c r="S73" s="7"/>
    </row>
    <row r="76" spans="2:19" x14ac:dyDescent="0.2">
      <c r="S76" s="7"/>
    </row>
    <row r="79" spans="2:19" x14ac:dyDescent="0.2">
      <c r="S79" s="7"/>
    </row>
    <row r="84" spans="19:19" x14ac:dyDescent="0.2">
      <c r="S84" s="7"/>
    </row>
    <row r="85" spans="19:19" x14ac:dyDescent="0.2">
      <c r="S85" s="7"/>
    </row>
    <row r="87" spans="19:19" x14ac:dyDescent="0.2">
      <c r="S87" s="7"/>
    </row>
    <row r="88" spans="19:19" x14ac:dyDescent="0.2">
      <c r="S88" s="7"/>
    </row>
    <row r="91" spans="19:19" x14ac:dyDescent="0.2">
      <c r="S91" s="7"/>
    </row>
    <row r="92" spans="19:19" x14ac:dyDescent="0.2">
      <c r="S92" s="7"/>
    </row>
    <row r="93" spans="19:19" x14ac:dyDescent="0.2">
      <c r="S93" s="7"/>
    </row>
    <row r="99" spans="19:19" x14ac:dyDescent="0.2">
      <c r="S99" s="7"/>
    </row>
    <row r="107" spans="19:19" x14ac:dyDescent="0.2">
      <c r="S107" s="7"/>
    </row>
    <row r="108" spans="19:19" x14ac:dyDescent="0.2">
      <c r="S108" s="7"/>
    </row>
    <row r="109" spans="19:19" x14ac:dyDescent="0.2">
      <c r="S109" s="7"/>
    </row>
    <row r="111" spans="19:19" x14ac:dyDescent="0.2">
      <c r="S111" s="7"/>
    </row>
  </sheetData>
  <mergeCells count="1">
    <mergeCell ref="B69:L69"/>
  </mergeCells>
  <phoneticPr fontId="38" type="noConversion"/>
  <pageMargins left="0.75" right="0.75" top="0.71" bottom="0.55000000000000004" header="0.5" footer="0.27"/>
  <pageSetup scale="7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C1:AJ123"/>
  <sheetViews>
    <sheetView showZeros="0" view="pageBreakPreview" zoomScale="90" zoomScaleNormal="100" zoomScaleSheetLayoutView="90" workbookViewId="0">
      <selection activeCell="AA36" sqref="AA36"/>
    </sheetView>
  </sheetViews>
  <sheetFormatPr defaultRowHeight="12.75" x14ac:dyDescent="0.2"/>
  <cols>
    <col min="3" max="3" width="13.42578125" customWidth="1"/>
    <col min="4" max="7" width="16" customWidth="1"/>
    <col min="8" max="8" width="13.7109375" customWidth="1"/>
    <col min="9" max="9" width="13.140625" customWidth="1"/>
    <col min="10" max="10" width="13.5703125" customWidth="1"/>
    <col min="12" max="12" width="9.140625" hidden="1" customWidth="1"/>
    <col min="13" max="13" width="14.42578125" hidden="1" customWidth="1"/>
    <col min="14" max="14" width="17.7109375" style="176" hidden="1" customWidth="1"/>
    <col min="15" max="26" width="9.140625" hidden="1" customWidth="1"/>
    <col min="27" max="27" width="20.42578125" customWidth="1"/>
    <col min="28" max="28" width="19.28515625" customWidth="1"/>
    <col min="29" max="29" width="18.42578125" customWidth="1"/>
    <col min="30" max="30" width="14" customWidth="1"/>
    <col min="31" max="31" width="13.85546875" customWidth="1"/>
    <col min="32" max="32" width="16.28515625" customWidth="1"/>
    <col min="33" max="33" width="9.140625" customWidth="1"/>
    <col min="34" max="34" width="16.7109375" customWidth="1"/>
    <col min="35" max="35" width="9.140625" customWidth="1"/>
  </cols>
  <sheetData>
    <row r="1" spans="3:36" ht="15.75" x14ac:dyDescent="0.25">
      <c r="C1" s="1" t="s">
        <v>444</v>
      </c>
    </row>
    <row r="2" spans="3:36" ht="15.75" x14ac:dyDescent="0.25">
      <c r="C2" s="3" t="s">
        <v>497</v>
      </c>
      <c r="F2" s="3" t="str">
        <f>'table 1 &amp; 2'!C2</f>
        <v>2022 Tax Year</v>
      </c>
    </row>
    <row r="3" spans="3:36" ht="15.75" x14ac:dyDescent="0.25">
      <c r="C3" s="3"/>
      <c r="F3" s="3"/>
    </row>
    <row r="4" spans="3:36" ht="16.5" x14ac:dyDescent="0.25">
      <c r="C4" s="77" t="s">
        <v>331</v>
      </c>
    </row>
    <row r="5" spans="3:36" ht="16.5" x14ac:dyDescent="0.25">
      <c r="C5" s="77" t="s">
        <v>517</v>
      </c>
      <c r="D5" s="7"/>
      <c r="E5" s="6"/>
      <c r="F5" s="77" t="str">
        <f>F2</f>
        <v>2022 Tax Year</v>
      </c>
      <c r="G5" s="6"/>
      <c r="H5" s="6"/>
      <c r="I5" s="6"/>
      <c r="J5" s="6"/>
      <c r="L5" s="1"/>
      <c r="AB5" s="610" t="s">
        <v>539</v>
      </c>
      <c r="AC5" s="610"/>
      <c r="AD5" s="610"/>
      <c r="AE5" s="610"/>
      <c r="AF5" s="610"/>
      <c r="AG5" s="438"/>
    </row>
    <row r="6" spans="3:36" ht="15" x14ac:dyDescent="0.25">
      <c r="C6" s="74"/>
      <c r="D6" s="7"/>
      <c r="E6" s="6"/>
      <c r="F6" s="6"/>
      <c r="G6" s="6"/>
      <c r="H6" s="6"/>
      <c r="I6" s="6"/>
      <c r="J6" s="6"/>
      <c r="AB6" s="527" t="s">
        <v>561</v>
      </c>
      <c r="AE6" s="7"/>
    </row>
    <row r="7" spans="3:36" x14ac:dyDescent="0.2">
      <c r="C7" s="6"/>
      <c r="D7" s="6"/>
      <c r="E7" s="22" t="s">
        <v>9</v>
      </c>
      <c r="F7" s="21" t="s">
        <v>28</v>
      </c>
      <c r="G7" s="21"/>
      <c r="H7" s="82" t="s">
        <v>338</v>
      </c>
      <c r="I7" s="6"/>
      <c r="J7" s="6"/>
      <c r="AB7" s="527" t="s">
        <v>557</v>
      </c>
      <c r="AC7" s="527"/>
      <c r="AD7" s="527"/>
      <c r="AE7" s="527" t="s">
        <v>558</v>
      </c>
      <c r="AF7" s="336"/>
      <c r="AG7" s="336"/>
      <c r="AH7" s="336"/>
      <c r="AI7" s="336"/>
      <c r="AJ7" s="336"/>
    </row>
    <row r="8" spans="3:36" ht="13.5" thickBot="1" x14ac:dyDescent="0.25">
      <c r="C8" s="23" t="s">
        <v>75</v>
      </c>
      <c r="D8" s="68" t="s">
        <v>341</v>
      </c>
      <c r="E8" s="25" t="s">
        <v>336</v>
      </c>
      <c r="F8" s="24" t="s">
        <v>336</v>
      </c>
      <c r="G8" s="24" t="s">
        <v>340</v>
      </c>
      <c r="H8" s="536" t="s">
        <v>555</v>
      </c>
      <c r="I8" s="24" t="s">
        <v>10</v>
      </c>
      <c r="J8" s="68" t="s">
        <v>29</v>
      </c>
      <c r="AB8" s="6"/>
      <c r="AC8" s="6"/>
      <c r="AF8" s="87"/>
    </row>
    <row r="9" spans="3:36" ht="13.5" thickBot="1" x14ac:dyDescent="0.25">
      <c r="C9" t="s">
        <v>306</v>
      </c>
      <c r="D9" s="48">
        <f>G9+J9</f>
        <v>637220791</v>
      </c>
      <c r="E9" s="86">
        <v>475216764</v>
      </c>
      <c r="F9" s="87">
        <v>162004027</v>
      </c>
      <c r="G9" s="87">
        <f>SUM(E9:F9)</f>
        <v>637220791</v>
      </c>
      <c r="H9" s="88"/>
      <c r="I9" s="79"/>
      <c r="J9" s="79">
        <f>SUM(H9:I9)</f>
        <v>0</v>
      </c>
      <c r="N9" s="180"/>
      <c r="AB9" s="23" t="s">
        <v>75</v>
      </c>
      <c r="AC9" s="68" t="s">
        <v>341</v>
      </c>
      <c r="AE9" s="23" t="s">
        <v>75</v>
      </c>
      <c r="AF9" s="68" t="s">
        <v>341</v>
      </c>
    </row>
    <row r="10" spans="3:36" x14ac:dyDescent="0.2">
      <c r="C10" s="52" t="s">
        <v>76</v>
      </c>
      <c r="D10" s="53">
        <f t="shared" ref="D10:D61" si="0">G10+J10</f>
        <v>15591282772</v>
      </c>
      <c r="E10" s="89">
        <v>12345986721</v>
      </c>
      <c r="F10" s="90">
        <v>3245296051</v>
      </c>
      <c r="G10" s="90">
        <f t="shared" ref="G10:G62" si="1">SUM(E10:F10)</f>
        <v>15591282772</v>
      </c>
      <c r="H10" s="91"/>
      <c r="I10" s="81"/>
      <c r="J10" s="81">
        <f t="shared" ref="J10:J62" si="2">SUM(H10:I10)</f>
        <v>0</v>
      </c>
      <c r="N10" s="180"/>
      <c r="O10" s="262"/>
      <c r="S10" t="str">
        <f>IF(AF10&gt;1000000,AE10,"")</f>
        <v>Albuquerque</v>
      </c>
      <c r="T10" s="180">
        <f>IF(AF10&gt;1000000,AF10/1000000,"")</f>
        <v>15591.282772</v>
      </c>
      <c r="AB10" t="s">
        <v>306</v>
      </c>
      <c r="AC10" s="540">
        <v>637220791</v>
      </c>
      <c r="AE10" t="s">
        <v>76</v>
      </c>
      <c r="AF10" s="87">
        <v>15591282772</v>
      </c>
    </row>
    <row r="11" spans="3:36" x14ac:dyDescent="0.2">
      <c r="C11" t="s">
        <v>208</v>
      </c>
      <c r="D11" s="48">
        <f t="shared" si="0"/>
        <v>281605350</v>
      </c>
      <c r="E11" s="86">
        <v>234642223</v>
      </c>
      <c r="F11" s="87">
        <v>46963127</v>
      </c>
      <c r="G11" s="87">
        <f t="shared" si="1"/>
        <v>281605350</v>
      </c>
      <c r="H11" s="88"/>
      <c r="I11" s="79"/>
      <c r="J11" s="79">
        <f t="shared" si="2"/>
        <v>0</v>
      </c>
      <c r="L11" s="201"/>
      <c r="N11" s="325"/>
      <c r="O11" s="262"/>
      <c r="Q11" s="180"/>
      <c r="S11" t="str">
        <f t="shared" ref="S11:S14" si="3">IF(AF11&gt;1000000,AE11,"")</f>
        <v>Santa Fe</v>
      </c>
      <c r="T11" s="180">
        <f t="shared" ref="T11:T14" si="4">IF(AF11&gt;1000000,AF11/1000000,"")</f>
        <v>4946.2006920000003</v>
      </c>
      <c r="AB11" s="52" t="s">
        <v>76</v>
      </c>
      <c r="AC11" s="53">
        <v>15591282772</v>
      </c>
      <c r="AE11" t="s">
        <v>56</v>
      </c>
      <c r="AF11" s="87">
        <v>4946200692</v>
      </c>
    </row>
    <row r="12" spans="3:36" x14ac:dyDescent="0.2">
      <c r="C12" s="52" t="s">
        <v>447</v>
      </c>
      <c r="D12" s="53">
        <f t="shared" si="0"/>
        <v>81638536</v>
      </c>
      <c r="E12" s="89">
        <v>59200334</v>
      </c>
      <c r="F12" s="90">
        <v>22438202</v>
      </c>
      <c r="G12" s="90">
        <f t="shared" si="1"/>
        <v>81638536</v>
      </c>
      <c r="H12" s="89"/>
      <c r="I12" s="90"/>
      <c r="J12" s="90">
        <f t="shared" si="2"/>
        <v>0</v>
      </c>
      <c r="L12" s="201"/>
      <c r="N12" s="325"/>
      <c r="O12" s="262"/>
      <c r="Q12" s="180"/>
      <c r="S12" t="str">
        <f t="shared" si="3"/>
        <v>Rio Rancho</v>
      </c>
      <c r="T12" s="180">
        <f t="shared" si="4"/>
        <v>2863.874354</v>
      </c>
      <c r="AB12" t="s">
        <v>208</v>
      </c>
      <c r="AC12" s="48">
        <v>281605350</v>
      </c>
      <c r="AE12" t="s">
        <v>95</v>
      </c>
      <c r="AF12" s="87">
        <v>2863874354</v>
      </c>
    </row>
    <row r="13" spans="3:36" x14ac:dyDescent="0.2">
      <c r="C13" t="s">
        <v>313</v>
      </c>
      <c r="D13" s="48">
        <f t="shared" si="0"/>
        <v>498906061</v>
      </c>
      <c r="E13" s="86">
        <v>185355807</v>
      </c>
      <c r="F13" s="87">
        <v>313549031</v>
      </c>
      <c r="G13" s="87">
        <f t="shared" si="1"/>
        <v>498904838</v>
      </c>
      <c r="H13" s="86">
        <v>1051</v>
      </c>
      <c r="I13" s="87">
        <v>172</v>
      </c>
      <c r="J13" s="87">
        <f>SUM(H13:I13)</f>
        <v>1223</v>
      </c>
      <c r="L13" s="201"/>
      <c r="N13" s="325"/>
      <c r="O13" s="262"/>
      <c r="Q13" s="180"/>
      <c r="S13" t="str">
        <f t="shared" si="3"/>
        <v>Las Cruces</v>
      </c>
      <c r="T13" s="180">
        <f t="shared" si="4"/>
        <v>2800.4792189999998</v>
      </c>
      <c r="AB13" s="52" t="s">
        <v>447</v>
      </c>
      <c r="AC13" s="53">
        <v>81638536</v>
      </c>
      <c r="AE13" t="s">
        <v>281</v>
      </c>
      <c r="AF13" s="87">
        <v>2800479219</v>
      </c>
    </row>
    <row r="14" spans="3:36" x14ac:dyDescent="0.2">
      <c r="C14" s="52" t="s">
        <v>272</v>
      </c>
      <c r="D14" s="53">
        <f t="shared" si="0"/>
        <v>138624124</v>
      </c>
      <c r="E14" s="89">
        <v>97055464</v>
      </c>
      <c r="F14" s="90">
        <v>40026524</v>
      </c>
      <c r="G14" s="90">
        <f t="shared" si="1"/>
        <v>137081988</v>
      </c>
      <c r="H14" s="91">
        <v>1259809</v>
      </c>
      <c r="I14" s="81">
        <v>282327</v>
      </c>
      <c r="J14" s="81">
        <f t="shared" si="2"/>
        <v>1542136</v>
      </c>
      <c r="L14" s="201"/>
      <c r="N14" s="325"/>
      <c r="O14" s="262"/>
      <c r="Q14" s="180"/>
      <c r="S14" t="str">
        <f t="shared" si="3"/>
        <v>Farmington</v>
      </c>
      <c r="T14" s="180">
        <f t="shared" si="4"/>
        <v>1243.471188</v>
      </c>
      <c r="AB14" t="s">
        <v>313</v>
      </c>
      <c r="AC14" s="48">
        <v>498906061</v>
      </c>
      <c r="AE14" t="s">
        <v>276</v>
      </c>
      <c r="AF14" s="48">
        <v>1243471188</v>
      </c>
    </row>
    <row r="15" spans="3:36" x14ac:dyDescent="0.2">
      <c r="C15" t="s">
        <v>109</v>
      </c>
      <c r="D15" s="48">
        <f t="shared" si="0"/>
        <v>22172324</v>
      </c>
      <c r="E15" s="86">
        <v>17881934</v>
      </c>
      <c r="F15" s="87">
        <v>4290390</v>
      </c>
      <c r="G15" s="87">
        <f t="shared" si="1"/>
        <v>22172324</v>
      </c>
      <c r="H15" s="88"/>
      <c r="I15" s="79"/>
      <c r="J15" s="79">
        <f t="shared" si="2"/>
        <v>0</v>
      </c>
      <c r="L15" s="201"/>
      <c r="N15" s="325"/>
      <c r="O15" s="262"/>
      <c r="Q15" s="180"/>
      <c r="T15" s="180"/>
      <c r="AB15" s="52" t="s">
        <v>272</v>
      </c>
      <c r="AC15" s="53">
        <v>138624124</v>
      </c>
      <c r="AE15" t="s">
        <v>45</v>
      </c>
      <c r="AF15" s="48">
        <v>921400832</v>
      </c>
    </row>
    <row r="16" spans="3:36" x14ac:dyDescent="0.2">
      <c r="C16" s="52" t="s">
        <v>283</v>
      </c>
      <c r="D16" s="53">
        <f t="shared" si="0"/>
        <v>164804505</v>
      </c>
      <c r="E16" s="89">
        <v>89184909</v>
      </c>
      <c r="F16" s="90">
        <v>75619596</v>
      </c>
      <c r="G16" s="90">
        <f t="shared" si="1"/>
        <v>164804505</v>
      </c>
      <c r="H16" s="91"/>
      <c r="I16" s="81"/>
      <c r="J16" s="81">
        <f t="shared" si="2"/>
        <v>0</v>
      </c>
      <c r="L16" s="201"/>
      <c r="N16" s="325"/>
      <c r="O16" s="262"/>
      <c r="Q16" s="180"/>
      <c r="AB16" t="s">
        <v>109</v>
      </c>
      <c r="AC16" s="48">
        <v>22172324</v>
      </c>
      <c r="AE16" t="s">
        <v>138</v>
      </c>
      <c r="AF16" s="87">
        <v>823832831</v>
      </c>
    </row>
    <row r="17" spans="3:32" x14ac:dyDescent="0.2">
      <c r="C17" t="s">
        <v>31</v>
      </c>
      <c r="D17" s="48">
        <f t="shared" si="0"/>
        <v>225855105</v>
      </c>
      <c r="E17" s="86">
        <v>162495064</v>
      </c>
      <c r="F17" s="87">
        <v>63360041</v>
      </c>
      <c r="G17" s="87">
        <f t="shared" si="1"/>
        <v>225855105</v>
      </c>
      <c r="H17" s="86"/>
      <c r="I17" s="87"/>
      <c r="J17" s="87">
        <f t="shared" si="2"/>
        <v>0</v>
      </c>
      <c r="L17" s="201"/>
      <c r="N17" s="325"/>
      <c r="Q17" s="180"/>
      <c r="AB17" s="52" t="s">
        <v>283</v>
      </c>
      <c r="AC17" s="53">
        <v>164804505</v>
      </c>
      <c r="AE17" t="s">
        <v>193</v>
      </c>
      <c r="AF17" s="87">
        <v>800592321</v>
      </c>
    </row>
    <row r="18" spans="3:32" x14ac:dyDescent="0.2">
      <c r="C18" s="52" t="s">
        <v>279</v>
      </c>
      <c r="D18" s="53">
        <f t="shared" si="0"/>
        <v>149430754</v>
      </c>
      <c r="E18" s="89">
        <v>84797027</v>
      </c>
      <c r="F18" s="90">
        <v>63799013</v>
      </c>
      <c r="G18" s="90">
        <f t="shared" si="1"/>
        <v>148596040</v>
      </c>
      <c r="H18" s="91">
        <v>714102</v>
      </c>
      <c r="I18" s="81">
        <v>120612</v>
      </c>
      <c r="J18" s="81">
        <f t="shared" si="2"/>
        <v>834714</v>
      </c>
      <c r="L18" s="201"/>
      <c r="N18" s="325"/>
      <c r="Q18" s="180"/>
      <c r="AB18" t="s">
        <v>31</v>
      </c>
      <c r="AC18" s="48">
        <v>225855105</v>
      </c>
      <c r="AE18" t="s">
        <v>304</v>
      </c>
      <c r="AF18" s="87">
        <v>799258364.28999996</v>
      </c>
    </row>
    <row r="19" spans="3:32" x14ac:dyDescent="0.2">
      <c r="C19" t="s">
        <v>280</v>
      </c>
      <c r="D19" s="48">
        <f t="shared" si="0"/>
        <v>109014292</v>
      </c>
      <c r="E19" s="86">
        <v>92811092</v>
      </c>
      <c r="F19" s="87">
        <v>16203200</v>
      </c>
      <c r="G19" s="87">
        <f t="shared" si="1"/>
        <v>109014292</v>
      </c>
      <c r="H19" s="88"/>
      <c r="I19" s="79"/>
      <c r="J19" s="79">
        <f t="shared" si="2"/>
        <v>0</v>
      </c>
      <c r="L19" s="201"/>
      <c r="N19" s="325"/>
      <c r="Q19" s="180"/>
      <c r="AB19" s="52" t="s">
        <v>279</v>
      </c>
      <c r="AC19" s="53">
        <v>149430754</v>
      </c>
      <c r="AE19" t="s">
        <v>246</v>
      </c>
      <c r="AF19" s="48">
        <v>684209365</v>
      </c>
    </row>
    <row r="20" spans="3:32" x14ac:dyDescent="0.2">
      <c r="C20" s="52" t="s">
        <v>243</v>
      </c>
      <c r="D20" s="53">
        <f t="shared" si="0"/>
        <v>29533062</v>
      </c>
      <c r="E20" s="89">
        <v>22518150</v>
      </c>
      <c r="F20" s="90">
        <v>7014912</v>
      </c>
      <c r="G20" s="90">
        <f t="shared" si="1"/>
        <v>29533062</v>
      </c>
      <c r="H20" s="89"/>
      <c r="I20" s="90"/>
      <c r="J20" s="90">
        <f t="shared" si="2"/>
        <v>0</v>
      </c>
      <c r="L20" s="201"/>
      <c r="N20" s="325"/>
      <c r="Q20" s="180"/>
      <c r="AB20" t="s">
        <v>280</v>
      </c>
      <c r="AC20" s="48">
        <v>109014292</v>
      </c>
      <c r="AE20" t="s">
        <v>306</v>
      </c>
      <c r="AF20" s="87">
        <v>637220791</v>
      </c>
    </row>
    <row r="21" spans="3:32" x14ac:dyDescent="0.2">
      <c r="C21" t="s">
        <v>304</v>
      </c>
      <c r="D21" s="48">
        <f t="shared" si="0"/>
        <v>799258364.28999996</v>
      </c>
      <c r="E21" s="86">
        <v>495454383</v>
      </c>
      <c r="F21" s="87">
        <v>300339266</v>
      </c>
      <c r="G21" s="87">
        <f t="shared" si="1"/>
        <v>795793649</v>
      </c>
      <c r="H21" s="88">
        <v>2837103</v>
      </c>
      <c r="I21" s="79">
        <v>627612.29</v>
      </c>
      <c r="J21" s="79">
        <f t="shared" si="2"/>
        <v>3464715.29</v>
      </c>
      <c r="L21" s="201"/>
      <c r="N21" s="325"/>
      <c r="Q21" s="180"/>
      <c r="AB21" s="52" t="s">
        <v>243</v>
      </c>
      <c r="AC21" s="53">
        <v>29533062</v>
      </c>
      <c r="AE21" t="s">
        <v>228</v>
      </c>
      <c r="AF21" s="48">
        <v>630721604</v>
      </c>
    </row>
    <row r="22" spans="3:32" x14ac:dyDescent="0.2">
      <c r="C22" s="52" t="s">
        <v>235</v>
      </c>
      <c r="D22" s="53">
        <f t="shared" si="0"/>
        <v>17960388</v>
      </c>
      <c r="E22" s="89">
        <v>10077883</v>
      </c>
      <c r="F22" s="90">
        <v>7882505</v>
      </c>
      <c r="G22" s="90">
        <f t="shared" si="1"/>
        <v>17960388</v>
      </c>
      <c r="H22" s="91"/>
      <c r="I22" s="81"/>
      <c r="J22" s="81">
        <f t="shared" si="2"/>
        <v>0</v>
      </c>
      <c r="L22" s="201"/>
      <c r="N22" s="325"/>
      <c r="Q22" s="180"/>
      <c r="AB22" t="s">
        <v>304</v>
      </c>
      <c r="AC22" s="48">
        <v>799258364.28999996</v>
      </c>
      <c r="AE22" t="s">
        <v>313</v>
      </c>
      <c r="AF22" s="48">
        <v>498906061</v>
      </c>
    </row>
    <row r="23" spans="3:32" x14ac:dyDescent="0.2">
      <c r="C23" t="s">
        <v>195</v>
      </c>
      <c r="D23" s="48">
        <f t="shared" si="0"/>
        <v>1174344</v>
      </c>
      <c r="E23" s="86">
        <v>392992</v>
      </c>
      <c r="F23" s="87">
        <v>781352</v>
      </c>
      <c r="G23" s="87">
        <f t="shared" si="1"/>
        <v>1174344</v>
      </c>
      <c r="H23" s="88"/>
      <c r="I23" s="79"/>
      <c r="J23" s="79">
        <f t="shared" si="2"/>
        <v>0</v>
      </c>
      <c r="L23" s="201"/>
      <c r="N23" s="325"/>
      <c r="Q23" s="180"/>
      <c r="AB23" s="52" t="s">
        <v>235</v>
      </c>
      <c r="AC23" s="53">
        <v>17960388</v>
      </c>
      <c r="AE23" t="s">
        <v>277</v>
      </c>
      <c r="AF23" s="48">
        <v>488345956</v>
      </c>
    </row>
    <row r="24" spans="3:32" x14ac:dyDescent="0.2">
      <c r="C24" s="52" t="s">
        <v>155</v>
      </c>
      <c r="D24" s="53">
        <f t="shared" si="0"/>
        <v>29356404</v>
      </c>
      <c r="E24" s="89">
        <v>15692028</v>
      </c>
      <c r="F24" s="90">
        <v>13664376</v>
      </c>
      <c r="G24" s="90">
        <f t="shared" si="1"/>
        <v>29356404</v>
      </c>
      <c r="H24" s="91"/>
      <c r="I24" s="81"/>
      <c r="J24" s="81">
        <f t="shared" si="2"/>
        <v>0</v>
      </c>
      <c r="L24" s="201"/>
      <c r="N24" s="325"/>
      <c r="Q24" s="180"/>
      <c r="AB24" t="s">
        <v>195</v>
      </c>
      <c r="AC24" s="48">
        <v>1174344</v>
      </c>
      <c r="AE24" t="s">
        <v>90</v>
      </c>
      <c r="AF24" s="48">
        <v>429775036</v>
      </c>
    </row>
    <row r="25" spans="3:32" x14ac:dyDescent="0.2">
      <c r="C25" t="s">
        <v>203</v>
      </c>
      <c r="D25" s="48">
        <f t="shared" si="0"/>
        <v>14591618</v>
      </c>
      <c r="E25" s="86">
        <v>9971152</v>
      </c>
      <c r="F25" s="87">
        <v>4620466</v>
      </c>
      <c r="G25" s="87">
        <f t="shared" si="1"/>
        <v>14591618</v>
      </c>
      <c r="H25" s="88"/>
      <c r="I25" s="79"/>
      <c r="J25" s="79">
        <f t="shared" si="2"/>
        <v>0</v>
      </c>
      <c r="L25" s="201"/>
      <c r="N25" s="325"/>
      <c r="Q25" s="180"/>
      <c r="AB25" s="52" t="s">
        <v>155</v>
      </c>
      <c r="AC25" s="53">
        <v>29356404</v>
      </c>
      <c r="AE25" t="s">
        <v>59</v>
      </c>
      <c r="AF25" s="87">
        <v>371071973</v>
      </c>
    </row>
    <row r="26" spans="3:32" x14ac:dyDescent="0.2">
      <c r="C26" s="52" t="s">
        <v>253</v>
      </c>
      <c r="D26" s="53">
        <f t="shared" si="0"/>
        <v>36778555</v>
      </c>
      <c r="E26" s="89">
        <v>20563712</v>
      </c>
      <c r="F26" s="90">
        <v>16214843</v>
      </c>
      <c r="G26" s="90">
        <f t="shared" si="1"/>
        <v>36778555</v>
      </c>
      <c r="H26" s="91"/>
      <c r="I26" s="81"/>
      <c r="J26" s="81">
        <f t="shared" si="2"/>
        <v>0</v>
      </c>
      <c r="L26" s="201"/>
      <c r="N26" s="325"/>
      <c r="Q26" s="180"/>
      <c r="AB26" t="s">
        <v>203</v>
      </c>
      <c r="AC26" s="48">
        <v>14591618</v>
      </c>
      <c r="AE26" t="s">
        <v>278</v>
      </c>
      <c r="AF26" s="87">
        <v>361905148</v>
      </c>
    </row>
    <row r="27" spans="3:32" x14ac:dyDescent="0.2">
      <c r="C27" t="s">
        <v>314</v>
      </c>
      <c r="D27" s="48">
        <f t="shared" si="0"/>
        <v>65141659</v>
      </c>
      <c r="E27" s="86">
        <v>49785950</v>
      </c>
      <c r="F27" s="87">
        <v>15355709</v>
      </c>
      <c r="G27" s="87">
        <f t="shared" si="1"/>
        <v>65141659</v>
      </c>
      <c r="H27" s="88"/>
      <c r="I27" s="79"/>
      <c r="J27" s="79">
        <f t="shared" si="2"/>
        <v>0</v>
      </c>
      <c r="L27" s="201"/>
      <c r="N27" s="325"/>
      <c r="Q27" s="180"/>
      <c r="AB27" s="52" t="s">
        <v>253</v>
      </c>
      <c r="AC27" s="53">
        <v>36778555</v>
      </c>
      <c r="AE27" t="s">
        <v>100</v>
      </c>
      <c r="AF27" s="87">
        <v>319083755</v>
      </c>
    </row>
    <row r="28" spans="3:32" x14ac:dyDescent="0.2">
      <c r="C28" s="52" t="s">
        <v>246</v>
      </c>
      <c r="D28" s="53">
        <f t="shared" si="0"/>
        <v>684209365</v>
      </c>
      <c r="E28" s="89">
        <v>503587085</v>
      </c>
      <c r="F28" s="90">
        <v>180622280</v>
      </c>
      <c r="G28" s="90">
        <f t="shared" si="1"/>
        <v>684209365</v>
      </c>
      <c r="H28" s="91"/>
      <c r="I28" s="81"/>
      <c r="J28" s="81">
        <f t="shared" si="2"/>
        <v>0</v>
      </c>
      <c r="L28" s="201"/>
      <c r="N28" s="325"/>
      <c r="Q28" s="180"/>
      <c r="AB28" t="s">
        <v>314</v>
      </c>
      <c r="AC28" s="48">
        <v>65141659</v>
      </c>
      <c r="AE28" t="s">
        <v>82</v>
      </c>
      <c r="AF28" s="48">
        <v>314594399</v>
      </c>
    </row>
    <row r="29" spans="3:32" x14ac:dyDescent="0.2">
      <c r="C29" t="s">
        <v>271</v>
      </c>
      <c r="D29" s="48">
        <f t="shared" si="0"/>
        <v>18845928</v>
      </c>
      <c r="E29" s="86">
        <v>11439710</v>
      </c>
      <c r="F29" s="87">
        <v>7406218</v>
      </c>
      <c r="G29" s="87">
        <f t="shared" si="1"/>
        <v>18845928</v>
      </c>
      <c r="H29" s="88"/>
      <c r="I29" s="79"/>
      <c r="J29" s="79">
        <f t="shared" si="2"/>
        <v>0</v>
      </c>
      <c r="L29" s="201"/>
      <c r="N29" s="325"/>
      <c r="Q29" s="180"/>
      <c r="AB29" s="52" t="s">
        <v>246</v>
      </c>
      <c r="AC29" s="53">
        <v>684209365</v>
      </c>
      <c r="AE29" t="s">
        <v>289</v>
      </c>
      <c r="AF29" s="48">
        <v>311430237</v>
      </c>
    </row>
    <row r="30" spans="3:32" x14ac:dyDescent="0.2">
      <c r="C30" s="52" t="s">
        <v>239</v>
      </c>
      <c r="D30" s="53">
        <f t="shared" si="0"/>
        <v>4702347</v>
      </c>
      <c r="E30" s="89">
        <v>1883775</v>
      </c>
      <c r="F30" s="90">
        <v>2818572</v>
      </c>
      <c r="G30" s="90">
        <f t="shared" si="1"/>
        <v>4702347</v>
      </c>
      <c r="H30" s="91"/>
      <c r="I30" s="81"/>
      <c r="J30" s="81">
        <f t="shared" si="2"/>
        <v>0</v>
      </c>
      <c r="L30" s="201"/>
      <c r="N30" s="325"/>
      <c r="Q30" s="180"/>
      <c r="AB30" t="s">
        <v>271</v>
      </c>
      <c r="AC30" s="48">
        <v>18845928</v>
      </c>
      <c r="AE30" t="s">
        <v>208</v>
      </c>
      <c r="AF30" s="87">
        <v>281605350</v>
      </c>
    </row>
    <row r="31" spans="3:32" x14ac:dyDescent="0.2">
      <c r="C31" t="s">
        <v>90</v>
      </c>
      <c r="D31" s="48">
        <f t="shared" si="0"/>
        <v>429775036</v>
      </c>
      <c r="E31" s="86">
        <v>385427087</v>
      </c>
      <c r="F31" s="87">
        <v>44347949</v>
      </c>
      <c r="G31" s="87">
        <f t="shared" si="1"/>
        <v>429775036</v>
      </c>
      <c r="H31" s="88"/>
      <c r="I31" s="79"/>
      <c r="J31" s="79">
        <f t="shared" si="2"/>
        <v>0</v>
      </c>
      <c r="L31" s="201"/>
      <c r="N31" s="325"/>
      <c r="Q31" s="180"/>
      <c r="AB31" s="52" t="s">
        <v>239</v>
      </c>
      <c r="AC31" s="53">
        <v>4702347</v>
      </c>
      <c r="AE31" t="s">
        <v>267</v>
      </c>
      <c r="AF31" s="48">
        <v>265150366</v>
      </c>
    </row>
    <row r="32" spans="3:32" x14ac:dyDescent="0.2">
      <c r="C32" s="52" t="s">
        <v>236</v>
      </c>
      <c r="D32" s="53">
        <f t="shared" si="0"/>
        <v>12560891</v>
      </c>
      <c r="E32" s="89">
        <v>4157844</v>
      </c>
      <c r="F32" s="90">
        <v>8403047</v>
      </c>
      <c r="G32" s="90">
        <f t="shared" si="1"/>
        <v>12560891</v>
      </c>
      <c r="H32" s="91"/>
      <c r="I32" s="81"/>
      <c r="J32" s="81">
        <f t="shared" si="2"/>
        <v>0</v>
      </c>
      <c r="L32" s="201"/>
      <c r="N32" s="325"/>
      <c r="Q32" s="180"/>
      <c r="AB32" t="s">
        <v>90</v>
      </c>
      <c r="AC32" s="48">
        <v>429775036</v>
      </c>
      <c r="AE32" t="s">
        <v>299</v>
      </c>
      <c r="AF32" s="87">
        <v>237008332</v>
      </c>
    </row>
    <row r="33" spans="3:32" x14ac:dyDescent="0.2">
      <c r="C33" t="s">
        <v>267</v>
      </c>
      <c r="D33" s="48">
        <f t="shared" si="0"/>
        <v>265150366</v>
      </c>
      <c r="E33" s="86">
        <v>146950456</v>
      </c>
      <c r="F33" s="87">
        <v>118199910</v>
      </c>
      <c r="G33" s="87">
        <f t="shared" si="1"/>
        <v>265150366</v>
      </c>
      <c r="H33" s="88"/>
      <c r="I33" s="79"/>
      <c r="J33" s="79">
        <f t="shared" si="2"/>
        <v>0</v>
      </c>
      <c r="L33" s="201"/>
      <c r="N33" s="325"/>
      <c r="Q33" s="180"/>
      <c r="AB33" s="52" t="s">
        <v>236</v>
      </c>
      <c r="AC33" s="53">
        <v>12560891</v>
      </c>
      <c r="AE33" t="s">
        <v>97</v>
      </c>
      <c r="AF33" s="48">
        <v>229391486</v>
      </c>
    </row>
    <row r="34" spans="3:32" x14ac:dyDescent="0.2">
      <c r="C34" s="52" t="s">
        <v>255</v>
      </c>
      <c r="D34" s="53">
        <f t="shared" si="0"/>
        <v>2557151</v>
      </c>
      <c r="E34" s="89">
        <v>1079248</v>
      </c>
      <c r="F34" s="90">
        <v>1477903</v>
      </c>
      <c r="G34" s="90">
        <f t="shared" si="1"/>
        <v>2557151</v>
      </c>
      <c r="H34" s="91"/>
      <c r="I34" s="81"/>
      <c r="J34" s="81">
        <f t="shared" si="2"/>
        <v>0</v>
      </c>
      <c r="L34" s="201"/>
      <c r="N34" s="325"/>
      <c r="Q34" s="180"/>
      <c r="AB34" t="s">
        <v>267</v>
      </c>
      <c r="AC34" s="48">
        <v>265150366</v>
      </c>
      <c r="AE34" t="s">
        <v>31</v>
      </c>
      <c r="AF34" s="87">
        <v>225855105</v>
      </c>
    </row>
    <row r="35" spans="3:32" x14ac:dyDescent="0.2">
      <c r="C35" t="s">
        <v>148</v>
      </c>
      <c r="D35" s="48">
        <f t="shared" si="0"/>
        <v>12668950</v>
      </c>
      <c r="E35" s="86">
        <v>9567287</v>
      </c>
      <c r="F35" s="87">
        <v>3101663</v>
      </c>
      <c r="G35" s="87">
        <f t="shared" si="1"/>
        <v>12668950</v>
      </c>
      <c r="H35" s="88"/>
      <c r="I35" s="79"/>
      <c r="J35" s="79">
        <f t="shared" si="2"/>
        <v>0</v>
      </c>
      <c r="L35" s="201"/>
      <c r="N35" s="325"/>
      <c r="Q35" s="180"/>
      <c r="AB35" s="52" t="s">
        <v>255</v>
      </c>
      <c r="AC35" s="53">
        <v>2557151</v>
      </c>
      <c r="AE35" t="s">
        <v>93</v>
      </c>
      <c r="AF35" s="48">
        <v>194934216</v>
      </c>
    </row>
    <row r="36" spans="3:32" x14ac:dyDescent="0.2">
      <c r="C36" s="52" t="s">
        <v>201</v>
      </c>
      <c r="D36" s="53">
        <f t="shared" si="0"/>
        <v>1225133</v>
      </c>
      <c r="E36" s="89">
        <v>766284</v>
      </c>
      <c r="F36" s="90">
        <v>458849</v>
      </c>
      <c r="G36" s="90">
        <f t="shared" si="1"/>
        <v>1225133</v>
      </c>
      <c r="H36" s="91"/>
      <c r="I36" s="81"/>
      <c r="J36" s="81">
        <f t="shared" si="2"/>
        <v>0</v>
      </c>
      <c r="L36" s="201"/>
      <c r="N36" s="325"/>
      <c r="Q36" s="180"/>
      <c r="AB36" t="s">
        <v>148</v>
      </c>
      <c r="AC36" s="48">
        <v>12668950</v>
      </c>
      <c r="AE36" t="s">
        <v>178</v>
      </c>
      <c r="AF36" s="87">
        <v>184496797</v>
      </c>
    </row>
    <row r="37" spans="3:32" x14ac:dyDescent="0.2">
      <c r="C37" t="s">
        <v>206</v>
      </c>
      <c r="D37" s="48">
        <f t="shared" si="0"/>
        <v>19567467</v>
      </c>
      <c r="E37" s="86">
        <v>13286875</v>
      </c>
      <c r="F37" s="87">
        <v>6280592</v>
      </c>
      <c r="G37" s="87">
        <f t="shared" si="1"/>
        <v>19567467</v>
      </c>
      <c r="H37" s="88"/>
      <c r="I37" s="79"/>
      <c r="J37" s="79">
        <f t="shared" si="2"/>
        <v>0</v>
      </c>
      <c r="L37" s="201"/>
      <c r="N37" s="325"/>
      <c r="Q37" s="180"/>
      <c r="AB37" s="52" t="s">
        <v>201</v>
      </c>
      <c r="AC37" s="53">
        <v>1225133</v>
      </c>
      <c r="AE37" t="s">
        <v>283</v>
      </c>
      <c r="AF37" s="87">
        <v>164804505</v>
      </c>
    </row>
    <row r="38" spans="3:32" x14ac:dyDescent="0.2">
      <c r="C38" s="52" t="s">
        <v>100</v>
      </c>
      <c r="D38" s="53">
        <f t="shared" si="0"/>
        <v>319083755</v>
      </c>
      <c r="E38" s="89">
        <v>245679912</v>
      </c>
      <c r="F38" s="90">
        <v>73403843</v>
      </c>
      <c r="G38" s="90">
        <f t="shared" si="1"/>
        <v>319083755</v>
      </c>
      <c r="H38" s="91"/>
      <c r="I38" s="81"/>
      <c r="J38" s="81">
        <f t="shared" si="2"/>
        <v>0</v>
      </c>
      <c r="L38" s="201"/>
      <c r="N38" s="325"/>
      <c r="Q38" s="180"/>
      <c r="AB38" t="s">
        <v>206</v>
      </c>
      <c r="AC38" s="48">
        <v>19567467</v>
      </c>
      <c r="AE38" t="s">
        <v>279</v>
      </c>
      <c r="AF38" s="48">
        <v>149430754</v>
      </c>
    </row>
    <row r="39" spans="3:32" x14ac:dyDescent="0.2">
      <c r="C39" t="s">
        <v>136</v>
      </c>
      <c r="D39" s="48">
        <f t="shared" si="0"/>
        <v>63840880</v>
      </c>
      <c r="E39" s="86">
        <v>46426942</v>
      </c>
      <c r="F39" s="87">
        <v>17413938</v>
      </c>
      <c r="G39" s="87">
        <f t="shared" si="1"/>
        <v>63840880</v>
      </c>
      <c r="H39" s="88"/>
      <c r="I39" s="79"/>
      <c r="J39" s="79">
        <f t="shared" si="2"/>
        <v>0</v>
      </c>
      <c r="L39" s="201"/>
      <c r="N39" s="325"/>
      <c r="Q39" s="180"/>
      <c r="AB39" s="52" t="s">
        <v>100</v>
      </c>
      <c r="AC39" s="53">
        <v>319083755</v>
      </c>
      <c r="AE39" t="s">
        <v>181</v>
      </c>
      <c r="AF39" s="48">
        <v>138839961</v>
      </c>
    </row>
    <row r="40" spans="3:32" x14ac:dyDescent="0.2">
      <c r="C40" s="52" t="s">
        <v>184</v>
      </c>
      <c r="D40" s="53">
        <f t="shared" si="0"/>
        <v>2740008</v>
      </c>
      <c r="E40" s="89">
        <v>1404647</v>
      </c>
      <c r="F40" s="90">
        <v>1335361</v>
      </c>
      <c r="G40" s="90">
        <f t="shared" si="1"/>
        <v>2740008</v>
      </c>
      <c r="H40" s="91"/>
      <c r="I40" s="81"/>
      <c r="J40" s="81">
        <f t="shared" si="2"/>
        <v>0</v>
      </c>
      <c r="L40" s="201"/>
      <c r="N40" s="325"/>
      <c r="Q40" s="180"/>
      <c r="AB40" t="s">
        <v>136</v>
      </c>
      <c r="AC40" s="48">
        <v>63840880</v>
      </c>
      <c r="AE40" t="s">
        <v>272</v>
      </c>
      <c r="AF40" s="87">
        <v>138624124</v>
      </c>
    </row>
    <row r="41" spans="3:32" x14ac:dyDescent="0.2">
      <c r="C41" t="s">
        <v>230</v>
      </c>
      <c r="D41" s="48">
        <f t="shared" si="0"/>
        <v>3446917</v>
      </c>
      <c r="E41" s="86">
        <v>487521</v>
      </c>
      <c r="F41" s="87">
        <v>2959396</v>
      </c>
      <c r="G41" s="87">
        <f t="shared" si="1"/>
        <v>3446917</v>
      </c>
      <c r="H41" s="88"/>
      <c r="I41" s="79"/>
      <c r="J41" s="79">
        <f t="shared" si="2"/>
        <v>0</v>
      </c>
      <c r="L41" s="201"/>
      <c r="N41" s="325"/>
      <c r="Q41" s="180"/>
      <c r="AB41" s="52" t="s">
        <v>184</v>
      </c>
      <c r="AC41" s="53">
        <v>2740008</v>
      </c>
      <c r="AE41" t="s">
        <v>58</v>
      </c>
      <c r="AF41" s="87">
        <v>128523580</v>
      </c>
    </row>
    <row r="42" spans="3:32" x14ac:dyDescent="0.2">
      <c r="C42" s="52" t="s">
        <v>93</v>
      </c>
      <c r="D42" s="53">
        <f t="shared" si="0"/>
        <v>194934216</v>
      </c>
      <c r="E42" s="89">
        <v>117018150</v>
      </c>
      <c r="F42" s="90">
        <v>77916066</v>
      </c>
      <c r="G42" s="90">
        <f t="shared" si="1"/>
        <v>194934216</v>
      </c>
      <c r="H42" s="91"/>
      <c r="I42" s="81"/>
      <c r="J42" s="81">
        <f t="shared" si="2"/>
        <v>0</v>
      </c>
      <c r="L42" s="201"/>
      <c r="N42" s="325"/>
      <c r="Q42" s="180"/>
      <c r="AB42" t="s">
        <v>230</v>
      </c>
      <c r="AC42" s="48">
        <v>3446917</v>
      </c>
      <c r="AE42" t="s">
        <v>183</v>
      </c>
      <c r="AF42" s="48">
        <v>120933194</v>
      </c>
    </row>
    <row r="43" spans="3:32" x14ac:dyDescent="0.2">
      <c r="C43" t="s">
        <v>210</v>
      </c>
      <c r="D43" s="48">
        <f t="shared" si="0"/>
        <v>28840476</v>
      </c>
      <c r="E43" s="86">
        <v>7436986</v>
      </c>
      <c r="F43" s="87">
        <v>21403490</v>
      </c>
      <c r="G43" s="87">
        <f t="shared" si="1"/>
        <v>28840476</v>
      </c>
      <c r="H43" s="86"/>
      <c r="I43" s="87"/>
      <c r="J43" s="87">
        <f t="shared" si="2"/>
        <v>0</v>
      </c>
      <c r="L43" s="201"/>
      <c r="N43" s="325"/>
      <c r="Q43" s="180"/>
      <c r="AB43" s="52" t="s">
        <v>93</v>
      </c>
      <c r="AC43" s="53">
        <v>194934216</v>
      </c>
      <c r="AE43" t="s">
        <v>280</v>
      </c>
      <c r="AF43" s="87">
        <v>109014292</v>
      </c>
    </row>
    <row r="44" spans="3:32" x14ac:dyDescent="0.2">
      <c r="C44" s="52" t="s">
        <v>190</v>
      </c>
      <c r="D44" s="53">
        <f t="shared" si="0"/>
        <v>41437541</v>
      </c>
      <c r="E44" s="89">
        <v>24403633</v>
      </c>
      <c r="F44" s="90">
        <v>12657462</v>
      </c>
      <c r="G44" s="90">
        <f t="shared" si="1"/>
        <v>37061095</v>
      </c>
      <c r="H44" s="89">
        <v>3639904</v>
      </c>
      <c r="I44" s="90">
        <v>736542</v>
      </c>
      <c r="J44" s="90">
        <f t="shared" si="2"/>
        <v>4376446</v>
      </c>
      <c r="L44" s="201"/>
      <c r="N44" s="325"/>
      <c r="Q44" s="180"/>
      <c r="AB44" t="s">
        <v>210</v>
      </c>
      <c r="AC44" s="48">
        <v>28840476</v>
      </c>
      <c r="AE44" t="s">
        <v>124</v>
      </c>
      <c r="AF44" s="87">
        <v>107357753</v>
      </c>
    </row>
    <row r="45" spans="3:32" x14ac:dyDescent="0.2">
      <c r="C45" t="s">
        <v>276</v>
      </c>
      <c r="D45" s="48">
        <f t="shared" si="0"/>
        <v>1243471188</v>
      </c>
      <c r="E45" s="86">
        <v>840325096</v>
      </c>
      <c r="F45" s="87">
        <v>400653223</v>
      </c>
      <c r="G45" s="87">
        <f t="shared" si="1"/>
        <v>1240978319</v>
      </c>
      <c r="H45" s="88">
        <v>2016316</v>
      </c>
      <c r="I45" s="79">
        <v>476553</v>
      </c>
      <c r="J45" s="79">
        <f t="shared" si="2"/>
        <v>2492869</v>
      </c>
      <c r="L45" s="201"/>
      <c r="N45" s="325"/>
      <c r="Q45" s="180"/>
      <c r="AB45" s="52" t="s">
        <v>190</v>
      </c>
      <c r="AC45" s="53">
        <v>41437541</v>
      </c>
      <c r="AE45" t="s">
        <v>186</v>
      </c>
      <c r="AF45" s="48">
        <v>102218927</v>
      </c>
    </row>
    <row r="46" spans="3:32" x14ac:dyDescent="0.2">
      <c r="C46" s="52" t="s">
        <v>191</v>
      </c>
      <c r="D46" s="53">
        <f t="shared" si="0"/>
        <v>1152426</v>
      </c>
      <c r="E46" s="89">
        <v>758113</v>
      </c>
      <c r="F46" s="90">
        <v>394313</v>
      </c>
      <c r="G46" s="90">
        <f t="shared" si="1"/>
        <v>1152426</v>
      </c>
      <c r="H46" s="91"/>
      <c r="I46" s="81"/>
      <c r="J46" s="81">
        <f t="shared" si="2"/>
        <v>0</v>
      </c>
      <c r="L46" s="201"/>
      <c r="N46" s="325"/>
      <c r="Q46" s="180"/>
      <c r="AB46" t="s">
        <v>276</v>
      </c>
      <c r="AC46" s="48">
        <v>1243471188</v>
      </c>
      <c r="AE46" t="s">
        <v>212</v>
      </c>
      <c r="AF46" s="87">
        <v>99691059</v>
      </c>
    </row>
    <row r="47" spans="3:32" x14ac:dyDescent="0.2">
      <c r="C47" t="s">
        <v>260</v>
      </c>
      <c r="D47" s="48">
        <f t="shared" si="0"/>
        <v>1198405</v>
      </c>
      <c r="E47" s="86">
        <v>616325</v>
      </c>
      <c r="F47" s="87">
        <v>582080</v>
      </c>
      <c r="G47" s="87">
        <f t="shared" si="1"/>
        <v>1198405</v>
      </c>
      <c r="H47" s="88"/>
      <c r="I47" s="79"/>
      <c r="J47" s="79">
        <f t="shared" si="2"/>
        <v>0</v>
      </c>
      <c r="L47" s="201"/>
      <c r="N47" s="325"/>
      <c r="Q47" s="180"/>
      <c r="AB47" s="52" t="s">
        <v>191</v>
      </c>
      <c r="AC47" s="53">
        <v>1152426</v>
      </c>
      <c r="AE47" t="s">
        <v>465</v>
      </c>
      <c r="AF47" s="48">
        <v>95398940</v>
      </c>
    </row>
    <row r="48" spans="3:32" x14ac:dyDescent="0.2">
      <c r="C48" s="52" t="s">
        <v>274</v>
      </c>
      <c r="D48" s="53">
        <f t="shared" si="0"/>
        <v>14421360</v>
      </c>
      <c r="E48" s="89">
        <v>7348944</v>
      </c>
      <c r="F48" s="90">
        <v>7072416</v>
      </c>
      <c r="G48" s="90">
        <f t="shared" si="1"/>
        <v>14421360</v>
      </c>
      <c r="H48" s="91"/>
      <c r="I48" s="81"/>
      <c r="J48" s="81">
        <f t="shared" si="2"/>
        <v>0</v>
      </c>
      <c r="L48" s="201"/>
      <c r="N48" s="325"/>
      <c r="Q48" s="180"/>
      <c r="AB48" t="s">
        <v>260</v>
      </c>
      <c r="AC48" s="48">
        <v>1198405</v>
      </c>
      <c r="AE48" t="s">
        <v>447</v>
      </c>
      <c r="AF48" s="48">
        <v>81638536</v>
      </c>
    </row>
    <row r="49" spans="3:34" x14ac:dyDescent="0.2">
      <c r="C49" t="s">
        <v>278</v>
      </c>
      <c r="D49" s="48">
        <f t="shared" si="0"/>
        <v>361905148</v>
      </c>
      <c r="E49" s="86">
        <v>214609472</v>
      </c>
      <c r="F49" s="87">
        <v>147295676</v>
      </c>
      <c r="G49" s="87">
        <f t="shared" si="1"/>
        <v>361905148</v>
      </c>
      <c r="H49" s="88"/>
      <c r="I49" s="79"/>
      <c r="J49" s="79">
        <f t="shared" si="2"/>
        <v>0</v>
      </c>
      <c r="L49" s="201"/>
      <c r="N49" s="325"/>
      <c r="Q49" s="180"/>
      <c r="AB49" s="52" t="s">
        <v>274</v>
      </c>
      <c r="AC49" s="53">
        <v>14421360</v>
      </c>
      <c r="AE49" t="s">
        <v>99</v>
      </c>
      <c r="AF49" s="48">
        <v>80988345</v>
      </c>
    </row>
    <row r="50" spans="3:34" x14ac:dyDescent="0.2">
      <c r="C50" s="52" t="s">
        <v>257</v>
      </c>
      <c r="D50" s="53">
        <f t="shared" si="0"/>
        <v>744456</v>
      </c>
      <c r="E50" s="89">
        <v>609737</v>
      </c>
      <c r="F50" s="90">
        <v>134719</v>
      </c>
      <c r="G50" s="90">
        <f t="shared" si="1"/>
        <v>744456</v>
      </c>
      <c r="H50" s="91"/>
      <c r="I50" s="81"/>
      <c r="J50" s="81">
        <f t="shared" si="2"/>
        <v>0</v>
      </c>
      <c r="L50" s="201"/>
      <c r="N50" s="325"/>
      <c r="Q50" s="180"/>
      <c r="AB50" t="s">
        <v>278</v>
      </c>
      <c r="AC50" s="48">
        <v>361905148</v>
      </c>
      <c r="AE50" t="s">
        <v>284</v>
      </c>
      <c r="AF50" s="87">
        <v>76541187</v>
      </c>
    </row>
    <row r="51" spans="3:34" x14ac:dyDescent="0.2">
      <c r="C51" t="s">
        <v>181</v>
      </c>
      <c r="D51" s="48">
        <f t="shared" si="0"/>
        <v>138839961</v>
      </c>
      <c r="E51" s="86">
        <v>81193325</v>
      </c>
      <c r="F51" s="87">
        <v>57646636</v>
      </c>
      <c r="G51" s="87">
        <f t="shared" si="1"/>
        <v>138839961</v>
      </c>
      <c r="H51" s="88"/>
      <c r="I51" s="79"/>
      <c r="J51" s="79">
        <f t="shared" si="2"/>
        <v>0</v>
      </c>
      <c r="L51" s="201"/>
      <c r="N51" s="325"/>
      <c r="Q51" s="180"/>
      <c r="AB51" s="52" t="s">
        <v>257</v>
      </c>
      <c r="AC51" s="53">
        <v>744456</v>
      </c>
      <c r="AE51" t="s">
        <v>287</v>
      </c>
      <c r="AF51" s="48">
        <v>71795943</v>
      </c>
    </row>
    <row r="52" spans="3:34" x14ac:dyDescent="0.2">
      <c r="C52" s="52" t="s">
        <v>263</v>
      </c>
      <c r="D52" s="53">
        <f t="shared" si="0"/>
        <v>784602</v>
      </c>
      <c r="E52" s="89">
        <v>134405</v>
      </c>
      <c r="F52" s="90">
        <v>650197</v>
      </c>
      <c r="G52" s="90">
        <f t="shared" si="1"/>
        <v>784602</v>
      </c>
      <c r="H52" s="91"/>
      <c r="I52" s="81"/>
      <c r="J52" s="81">
        <f t="shared" si="2"/>
        <v>0</v>
      </c>
      <c r="L52" s="201"/>
      <c r="N52" s="325"/>
      <c r="Q52" s="180"/>
      <c r="AB52" t="s">
        <v>181</v>
      </c>
      <c r="AC52" s="48">
        <v>138839961</v>
      </c>
      <c r="AE52" t="s">
        <v>179</v>
      </c>
      <c r="AF52" s="48">
        <v>66663034</v>
      </c>
    </row>
    <row r="53" spans="3:34" x14ac:dyDescent="0.2">
      <c r="C53" t="s">
        <v>144</v>
      </c>
      <c r="D53" s="48">
        <f t="shared" si="0"/>
        <v>8031971</v>
      </c>
      <c r="E53" s="86">
        <v>5739802</v>
      </c>
      <c r="F53" s="87">
        <v>2292169</v>
      </c>
      <c r="G53" s="87">
        <f t="shared" si="1"/>
        <v>8031971</v>
      </c>
      <c r="H53" s="88"/>
      <c r="I53" s="79"/>
      <c r="J53" s="79">
        <f t="shared" si="2"/>
        <v>0</v>
      </c>
      <c r="L53" s="201"/>
      <c r="N53" s="325"/>
      <c r="Q53" s="180"/>
      <c r="AB53" s="52" t="s">
        <v>263</v>
      </c>
      <c r="AC53" s="53">
        <v>784602</v>
      </c>
      <c r="AE53" t="s">
        <v>314</v>
      </c>
      <c r="AF53" s="48">
        <v>65141659</v>
      </c>
    </row>
    <row r="54" spans="3:34" x14ac:dyDescent="0.2">
      <c r="C54" s="52" t="s">
        <v>292</v>
      </c>
      <c r="D54" s="53">
        <f t="shared" si="0"/>
        <v>22641583</v>
      </c>
      <c r="E54" s="89">
        <v>10568021</v>
      </c>
      <c r="F54" s="90">
        <v>12073562</v>
      </c>
      <c r="G54" s="90">
        <f t="shared" si="1"/>
        <v>22641583</v>
      </c>
      <c r="H54" s="89"/>
      <c r="I54" s="90"/>
      <c r="J54" s="90">
        <f t="shared" si="2"/>
        <v>0</v>
      </c>
      <c r="L54" s="201"/>
      <c r="N54" s="325"/>
      <c r="Q54" s="180"/>
      <c r="AB54" t="s">
        <v>144</v>
      </c>
      <c r="AC54" s="48">
        <v>8031971</v>
      </c>
      <c r="AE54" t="s">
        <v>136</v>
      </c>
      <c r="AF54" s="48">
        <v>63840880</v>
      </c>
    </row>
    <row r="55" spans="3:34" x14ac:dyDescent="0.2">
      <c r="C55" t="s">
        <v>193</v>
      </c>
      <c r="D55" s="48">
        <f t="shared" si="0"/>
        <v>800592321</v>
      </c>
      <c r="E55" s="86">
        <v>424525845</v>
      </c>
      <c r="F55" s="87">
        <v>266592357</v>
      </c>
      <c r="G55" s="87">
        <f t="shared" si="1"/>
        <v>691118202</v>
      </c>
      <c r="H55" s="88">
        <v>88987706</v>
      </c>
      <c r="I55" s="79">
        <v>20486413</v>
      </c>
      <c r="J55" s="79">
        <f t="shared" si="2"/>
        <v>109474119</v>
      </c>
      <c r="L55" s="201"/>
      <c r="N55" s="325"/>
      <c r="Q55" s="180"/>
      <c r="AB55" s="52" t="s">
        <v>292</v>
      </c>
      <c r="AC55" s="53">
        <v>22641583</v>
      </c>
      <c r="AE55" t="s">
        <v>232</v>
      </c>
      <c r="AF55" s="48">
        <v>57899018</v>
      </c>
    </row>
    <row r="56" spans="3:34" x14ac:dyDescent="0.2">
      <c r="C56" s="52" t="s">
        <v>78</v>
      </c>
      <c r="D56" s="53">
        <f t="shared" si="0"/>
        <v>1073613</v>
      </c>
      <c r="E56" s="89">
        <v>882042</v>
      </c>
      <c r="F56" s="90">
        <v>191571</v>
      </c>
      <c r="G56" s="90">
        <f t="shared" si="1"/>
        <v>1073613</v>
      </c>
      <c r="H56" s="91"/>
      <c r="I56" s="81"/>
      <c r="J56" s="81">
        <f t="shared" si="2"/>
        <v>0</v>
      </c>
      <c r="L56" s="201"/>
      <c r="N56" s="325"/>
      <c r="Q56" s="180"/>
      <c r="AB56" t="s">
        <v>193</v>
      </c>
      <c r="AC56" s="48">
        <v>800592321</v>
      </c>
      <c r="AE56" t="s">
        <v>220</v>
      </c>
      <c r="AF56" s="48">
        <v>53408109</v>
      </c>
    </row>
    <row r="57" spans="3:34" x14ac:dyDescent="0.2">
      <c r="C57" t="s">
        <v>105</v>
      </c>
      <c r="D57" s="48">
        <f t="shared" si="0"/>
        <v>1126086</v>
      </c>
      <c r="E57" s="86">
        <v>468953</v>
      </c>
      <c r="F57" s="87">
        <v>657133</v>
      </c>
      <c r="G57" s="87">
        <f t="shared" si="1"/>
        <v>1126086</v>
      </c>
      <c r="H57" s="88"/>
      <c r="I57" s="79"/>
      <c r="J57" s="79">
        <f t="shared" si="2"/>
        <v>0</v>
      </c>
      <c r="L57" s="201"/>
      <c r="N57" s="325"/>
      <c r="Q57" s="180"/>
      <c r="AB57" s="52" t="s">
        <v>78</v>
      </c>
      <c r="AC57" s="53">
        <v>1073613</v>
      </c>
      <c r="AE57" t="s">
        <v>127</v>
      </c>
      <c r="AF57" s="48">
        <v>52655703</v>
      </c>
    </row>
    <row r="58" spans="3:34" x14ac:dyDescent="0.2">
      <c r="C58" s="52" t="s">
        <v>103</v>
      </c>
      <c r="D58" s="53">
        <f t="shared" si="0"/>
        <v>12849471</v>
      </c>
      <c r="E58" s="89">
        <v>11410146</v>
      </c>
      <c r="F58" s="90">
        <v>1439325</v>
      </c>
      <c r="G58" s="90">
        <f t="shared" si="1"/>
        <v>12849471</v>
      </c>
      <c r="H58" s="89"/>
      <c r="I58" s="90"/>
      <c r="J58" s="90">
        <f t="shared" si="2"/>
        <v>0</v>
      </c>
      <c r="L58" s="201"/>
      <c r="N58" s="325"/>
      <c r="Q58" s="180"/>
      <c r="AB58" t="s">
        <v>105</v>
      </c>
      <c r="AC58" s="48">
        <v>1126086</v>
      </c>
      <c r="AE58" t="s">
        <v>188</v>
      </c>
      <c r="AF58" s="48">
        <v>48744777</v>
      </c>
    </row>
    <row r="59" spans="3:34" x14ac:dyDescent="0.2">
      <c r="C59" t="s">
        <v>199</v>
      </c>
      <c r="D59" s="48">
        <f t="shared" si="0"/>
        <v>30806390</v>
      </c>
      <c r="E59" s="86">
        <v>13827408</v>
      </c>
      <c r="F59" s="87">
        <v>16302558</v>
      </c>
      <c r="G59" s="87">
        <f t="shared" si="1"/>
        <v>30129966</v>
      </c>
      <c r="H59" s="88">
        <v>553559</v>
      </c>
      <c r="I59" s="79">
        <v>122865</v>
      </c>
      <c r="J59" s="79">
        <f t="shared" si="2"/>
        <v>676424</v>
      </c>
      <c r="L59" s="201"/>
      <c r="N59" s="325"/>
      <c r="Q59" s="180"/>
      <c r="AB59" s="52" t="s">
        <v>103</v>
      </c>
      <c r="AC59" s="53">
        <v>12849471</v>
      </c>
      <c r="AE59" t="s">
        <v>175</v>
      </c>
      <c r="AF59" s="48">
        <v>47190122</v>
      </c>
    </row>
    <row r="60" spans="3:34" x14ac:dyDescent="0.2">
      <c r="C60" s="52" t="s">
        <v>240</v>
      </c>
      <c r="D60" s="53">
        <f t="shared" si="0"/>
        <v>11741466</v>
      </c>
      <c r="E60" s="89">
        <v>6186699</v>
      </c>
      <c r="F60" s="90">
        <v>5554767</v>
      </c>
      <c r="G60" s="90">
        <f t="shared" si="1"/>
        <v>11741466</v>
      </c>
      <c r="H60" s="91"/>
      <c r="I60" s="213"/>
      <c r="J60" s="213">
        <f t="shared" si="2"/>
        <v>0</v>
      </c>
      <c r="L60" s="201"/>
      <c r="N60" s="325"/>
      <c r="Q60" s="180"/>
      <c r="AB60" t="s">
        <v>199</v>
      </c>
      <c r="AC60" s="48">
        <v>30806390</v>
      </c>
      <c r="AE60" t="s">
        <v>190</v>
      </c>
      <c r="AF60" s="87">
        <v>41437541</v>
      </c>
    </row>
    <row r="61" spans="3:34" x14ac:dyDescent="0.2">
      <c r="C61" t="s">
        <v>534</v>
      </c>
      <c r="D61" s="48">
        <f t="shared" si="0"/>
        <v>22506795</v>
      </c>
      <c r="E61" s="86">
        <v>12125235</v>
      </c>
      <c r="F61" s="87">
        <v>10381560</v>
      </c>
      <c r="G61" s="87">
        <f t="shared" si="1"/>
        <v>22506795</v>
      </c>
      <c r="H61" s="200"/>
      <c r="I61" s="210"/>
      <c r="J61" s="79">
        <f t="shared" si="2"/>
        <v>0</v>
      </c>
      <c r="L61" s="201"/>
      <c r="N61" s="325"/>
      <c r="Q61" s="180"/>
      <c r="AB61" s="52" t="s">
        <v>240</v>
      </c>
      <c r="AC61" s="53">
        <v>11741466</v>
      </c>
      <c r="AE61" t="s">
        <v>111</v>
      </c>
      <c r="AF61" s="87">
        <v>41079924</v>
      </c>
    </row>
    <row r="62" spans="3:34" ht="13.5" thickBot="1" x14ac:dyDescent="0.25">
      <c r="C62" s="423" t="s">
        <v>153</v>
      </c>
      <c r="D62" s="489">
        <f>G62+J62</f>
        <v>3352117</v>
      </c>
      <c r="E62" s="490">
        <v>1984874</v>
      </c>
      <c r="F62" s="491">
        <v>1367243</v>
      </c>
      <c r="G62" s="491">
        <f t="shared" si="1"/>
        <v>3352117</v>
      </c>
      <c r="H62" s="492"/>
      <c r="I62" s="493"/>
      <c r="J62" s="493">
        <f t="shared" si="2"/>
        <v>0</v>
      </c>
      <c r="L62" s="201"/>
      <c r="N62" s="325"/>
      <c r="Q62" s="180"/>
      <c r="AB62" s="347" t="s">
        <v>534</v>
      </c>
      <c r="AC62" s="53">
        <v>22506795</v>
      </c>
      <c r="AE62" t="s">
        <v>166</v>
      </c>
      <c r="AF62" s="87">
        <v>37434547</v>
      </c>
    </row>
    <row r="63" spans="3:34" ht="13.5" thickBot="1" x14ac:dyDescent="0.25">
      <c r="C63" s="6" t="s">
        <v>337</v>
      </c>
      <c r="D63" s="48"/>
      <c r="L63" s="201"/>
      <c r="N63" s="325"/>
      <c r="Q63" s="180"/>
      <c r="AB63" s="23" t="s">
        <v>153</v>
      </c>
      <c r="AC63" s="389">
        <v>3352117</v>
      </c>
      <c r="AE63" t="s">
        <v>311</v>
      </c>
      <c r="AF63" s="48">
        <v>37264963</v>
      </c>
      <c r="AG63" s="87"/>
      <c r="AH63" s="87"/>
    </row>
    <row r="64" spans="3:34" x14ac:dyDescent="0.2">
      <c r="C64" s="6" t="s">
        <v>556</v>
      </c>
      <c r="L64" s="201"/>
      <c r="N64" s="325"/>
      <c r="Q64" s="180"/>
      <c r="AB64" s="52" t="s">
        <v>281</v>
      </c>
      <c r="AC64" s="53">
        <v>2800479219</v>
      </c>
      <c r="AE64" t="s">
        <v>253</v>
      </c>
      <c r="AF64" s="87">
        <v>36778555</v>
      </c>
      <c r="AG64" s="87"/>
      <c r="AH64" s="87"/>
    </row>
    <row r="65" spans="3:34" x14ac:dyDescent="0.2">
      <c r="C65" s="609">
        <f>'Table 19'!B69+1</f>
        <v>22</v>
      </c>
      <c r="D65" s="609"/>
      <c r="E65" s="609"/>
      <c r="F65" s="609"/>
      <c r="G65" s="609"/>
      <c r="H65" s="609"/>
      <c r="I65" s="609"/>
      <c r="J65" s="609"/>
      <c r="L65" s="201"/>
      <c r="N65" s="325"/>
      <c r="Q65" s="180"/>
      <c r="AB65" t="s">
        <v>299</v>
      </c>
      <c r="AC65" s="48">
        <v>237008332</v>
      </c>
      <c r="AE65" t="s">
        <v>199</v>
      </c>
      <c r="AF65" s="48">
        <v>30806390</v>
      </c>
      <c r="AG65" s="87"/>
      <c r="AH65" s="87"/>
    </row>
    <row r="66" spans="3:34" x14ac:dyDescent="0.2">
      <c r="C66" s="402" t="s">
        <v>552</v>
      </c>
      <c r="D66" s="528"/>
      <c r="E66" s="336"/>
      <c r="F66" s="336"/>
      <c r="G66" s="336"/>
      <c r="H66" s="336"/>
      <c r="I66" s="402"/>
      <c r="J66" s="402"/>
      <c r="K66" s="402"/>
      <c r="L66" s="529"/>
      <c r="M66" s="336"/>
      <c r="N66" s="529"/>
      <c r="O66" s="336"/>
      <c r="P66" s="336"/>
      <c r="Q66" s="530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52" t="s">
        <v>111</v>
      </c>
      <c r="AC66" s="53">
        <v>41079924</v>
      </c>
      <c r="AE66" t="s">
        <v>243</v>
      </c>
      <c r="AF66" s="48">
        <v>29533062</v>
      </c>
      <c r="AG66" s="87"/>
      <c r="AH66" s="87"/>
    </row>
    <row r="67" spans="3:34" x14ac:dyDescent="0.2">
      <c r="G67" s="117" t="s">
        <v>455</v>
      </c>
      <c r="H67" s="117" t="s">
        <v>456</v>
      </c>
      <c r="I67" s="117" t="s">
        <v>457</v>
      </c>
      <c r="J67" s="117" t="s">
        <v>459</v>
      </c>
      <c r="K67" s="117"/>
      <c r="L67" s="201"/>
      <c r="N67" s="325"/>
      <c r="Q67" s="180"/>
      <c r="AB67" t="s">
        <v>166</v>
      </c>
      <c r="AC67" s="48">
        <v>37434547</v>
      </c>
      <c r="AE67" t="s">
        <v>155</v>
      </c>
      <c r="AF67" s="48">
        <v>29356404</v>
      </c>
      <c r="AG67" s="87"/>
      <c r="AH67" s="87"/>
    </row>
    <row r="68" spans="3:34" x14ac:dyDescent="0.2">
      <c r="C68" t="s">
        <v>306</v>
      </c>
      <c r="D68" s="235">
        <f t="shared" ref="D68:D99" si="5">D9/1000</f>
        <v>637220.79099999997</v>
      </c>
      <c r="G68" t="str">
        <f t="shared" ref="G68:G86" si="6">IF(D68&lt;999,C68,"")</f>
        <v/>
      </c>
      <c r="H68" t="str">
        <f t="shared" ref="H68:H86" si="7">IF($D68&lt;10999,$C68,"")</f>
        <v/>
      </c>
      <c r="I68" t="str">
        <f t="shared" ref="I68:I86" si="8">IF($D68&lt;100999,$C68,"")</f>
        <v/>
      </c>
      <c r="J68" t="str">
        <f t="shared" ref="J68:J86" si="9">IF($D68&gt;100999,$C68,"")</f>
        <v>Alamogordo</v>
      </c>
      <c r="L68" s="201"/>
      <c r="N68" s="325"/>
      <c r="Q68" s="180"/>
      <c r="AB68" s="52" t="s">
        <v>45</v>
      </c>
      <c r="AC68" s="53">
        <v>921400832</v>
      </c>
      <c r="AE68" t="s">
        <v>210</v>
      </c>
      <c r="AF68" s="48">
        <v>28840476</v>
      </c>
      <c r="AG68" s="87"/>
      <c r="AH68" s="87"/>
    </row>
    <row r="69" spans="3:34" x14ac:dyDescent="0.2">
      <c r="C69" t="s">
        <v>76</v>
      </c>
      <c r="D69" s="235">
        <f t="shared" si="5"/>
        <v>15591282.772</v>
      </c>
      <c r="G69" t="str">
        <f t="shared" si="6"/>
        <v/>
      </c>
      <c r="H69" t="str">
        <f t="shared" si="7"/>
        <v/>
      </c>
      <c r="I69" t="str">
        <f t="shared" si="8"/>
        <v/>
      </c>
      <c r="J69" t="str">
        <f t="shared" si="9"/>
        <v>Albuquerque</v>
      </c>
      <c r="L69" s="201"/>
      <c r="N69" s="325"/>
      <c r="Q69" s="180"/>
      <c r="AB69" t="s">
        <v>277</v>
      </c>
      <c r="AC69" s="48">
        <v>488345956</v>
      </c>
      <c r="AE69" t="s">
        <v>307</v>
      </c>
      <c r="AF69" s="48">
        <v>25670790</v>
      </c>
      <c r="AG69" s="87"/>
      <c r="AH69" s="87"/>
    </row>
    <row r="70" spans="3:34" x14ac:dyDescent="0.2">
      <c r="C70" t="s">
        <v>208</v>
      </c>
      <c r="D70" s="235">
        <f t="shared" si="5"/>
        <v>281605.34999999998</v>
      </c>
      <c r="G70" t="str">
        <f t="shared" si="6"/>
        <v/>
      </c>
      <c r="H70" t="str">
        <f t="shared" si="7"/>
        <v/>
      </c>
      <c r="I70" t="str">
        <f t="shared" si="8"/>
        <v/>
      </c>
      <c r="J70" t="str">
        <f t="shared" si="9"/>
        <v>Angel Fire</v>
      </c>
      <c r="L70" s="201"/>
      <c r="N70" s="325"/>
      <c r="Q70" s="180"/>
      <c r="AB70" s="52" t="s">
        <v>82</v>
      </c>
      <c r="AC70" s="53">
        <v>314594399</v>
      </c>
      <c r="AE70" t="s">
        <v>292</v>
      </c>
      <c r="AF70" s="87">
        <v>22641583</v>
      </c>
      <c r="AG70" s="87"/>
      <c r="AH70" s="87"/>
    </row>
    <row r="71" spans="3:34" x14ac:dyDescent="0.2">
      <c r="C71" t="s">
        <v>447</v>
      </c>
      <c r="D71" s="235">
        <f t="shared" si="5"/>
        <v>81638.535999999993</v>
      </c>
      <c r="G71" t="str">
        <f t="shared" si="6"/>
        <v/>
      </c>
      <c r="H71" t="str">
        <f t="shared" si="7"/>
        <v/>
      </c>
      <c r="I71" t="str">
        <f t="shared" si="8"/>
        <v>Anthony</v>
      </c>
      <c r="J71" t="str">
        <f t="shared" si="9"/>
        <v/>
      </c>
      <c r="L71" s="201"/>
      <c r="N71" s="325"/>
      <c r="Q71" s="180"/>
      <c r="AB71" t="s">
        <v>309</v>
      </c>
      <c r="AC71" s="48">
        <v>18244600</v>
      </c>
      <c r="AE71" t="s">
        <v>534</v>
      </c>
      <c r="AF71" s="87">
        <v>22506795</v>
      </c>
      <c r="AG71" s="87"/>
      <c r="AH71" s="87"/>
    </row>
    <row r="72" spans="3:34" x14ac:dyDescent="0.2">
      <c r="C72" t="s">
        <v>313</v>
      </c>
      <c r="D72" s="235">
        <f t="shared" si="5"/>
        <v>498906.06099999999</v>
      </c>
      <c r="G72" t="str">
        <f t="shared" si="6"/>
        <v/>
      </c>
      <c r="H72" t="str">
        <f t="shared" si="7"/>
        <v/>
      </c>
      <c r="I72" t="str">
        <f t="shared" si="8"/>
        <v/>
      </c>
      <c r="J72" t="str">
        <f t="shared" si="9"/>
        <v>Artesia</v>
      </c>
      <c r="L72" s="201"/>
      <c r="N72" s="325"/>
      <c r="Q72" s="180"/>
      <c r="AB72" s="52" t="s">
        <v>183</v>
      </c>
      <c r="AC72" s="53">
        <v>120933194</v>
      </c>
      <c r="AE72" t="s">
        <v>109</v>
      </c>
      <c r="AF72" s="48">
        <v>22172324</v>
      </c>
      <c r="AG72" s="87"/>
      <c r="AH72" s="87"/>
    </row>
    <row r="73" spans="3:34" x14ac:dyDescent="0.2">
      <c r="C73" t="s">
        <v>272</v>
      </c>
      <c r="D73" s="235">
        <f t="shared" si="5"/>
        <v>138624.12400000001</v>
      </c>
      <c r="G73" t="str">
        <f t="shared" si="6"/>
        <v/>
      </c>
      <c r="H73" t="str">
        <f t="shared" si="7"/>
        <v/>
      </c>
      <c r="I73" t="str">
        <f t="shared" si="8"/>
        <v/>
      </c>
      <c r="J73" t="str">
        <f t="shared" si="9"/>
        <v>Aztec</v>
      </c>
      <c r="L73" s="201"/>
      <c r="N73" s="325"/>
      <c r="Q73" s="180"/>
      <c r="AB73" t="s">
        <v>151</v>
      </c>
      <c r="AC73" s="48">
        <v>8101606</v>
      </c>
      <c r="AE73" t="s">
        <v>206</v>
      </c>
      <c r="AF73" s="48">
        <v>19567467</v>
      </c>
      <c r="AG73" s="87"/>
      <c r="AH73" s="87"/>
    </row>
    <row r="74" spans="3:34" x14ac:dyDescent="0.2">
      <c r="C74" t="s">
        <v>109</v>
      </c>
      <c r="D74" s="235">
        <f t="shared" si="5"/>
        <v>22172.324000000001</v>
      </c>
      <c r="G74" t="str">
        <f t="shared" si="6"/>
        <v/>
      </c>
      <c r="H74" t="str">
        <f t="shared" si="7"/>
        <v/>
      </c>
      <c r="I74" t="str">
        <f t="shared" si="8"/>
        <v>Bayard</v>
      </c>
      <c r="J74" t="str">
        <f t="shared" si="9"/>
        <v/>
      </c>
      <c r="L74" s="201"/>
      <c r="N74" s="325"/>
      <c r="Q74" s="180"/>
      <c r="AB74" s="52" t="s">
        <v>221</v>
      </c>
      <c r="AC74" s="53">
        <v>2654372</v>
      </c>
      <c r="AE74" t="s">
        <v>271</v>
      </c>
      <c r="AF74" s="48">
        <v>18845928</v>
      </c>
      <c r="AG74" s="87"/>
      <c r="AH74" s="87"/>
    </row>
    <row r="75" spans="3:34" x14ac:dyDescent="0.2">
      <c r="C75" t="s">
        <v>283</v>
      </c>
      <c r="D75" s="235">
        <f t="shared" si="5"/>
        <v>164804.505</v>
      </c>
      <c r="G75" t="str">
        <f t="shared" si="6"/>
        <v/>
      </c>
      <c r="H75" t="str">
        <f t="shared" si="7"/>
        <v/>
      </c>
      <c r="I75" t="str">
        <f t="shared" si="8"/>
        <v/>
      </c>
      <c r="J75" t="str">
        <f t="shared" si="9"/>
        <v>Belen</v>
      </c>
      <c r="L75" s="201"/>
      <c r="N75" s="325"/>
      <c r="Q75" s="180"/>
      <c r="AB75" t="s">
        <v>254</v>
      </c>
      <c r="AC75" s="48">
        <v>8523583</v>
      </c>
      <c r="AE75" t="s">
        <v>309</v>
      </c>
      <c r="AF75" s="87">
        <v>18244600</v>
      </c>
      <c r="AG75" s="87"/>
      <c r="AH75" s="87"/>
    </row>
    <row r="76" spans="3:34" x14ac:dyDescent="0.2">
      <c r="C76" t="s">
        <v>31</v>
      </c>
      <c r="D76" s="235">
        <f t="shared" si="5"/>
        <v>225855.10500000001</v>
      </c>
      <c r="G76" t="str">
        <f t="shared" si="6"/>
        <v/>
      </c>
      <c r="H76" t="str">
        <f t="shared" si="7"/>
        <v/>
      </c>
      <c r="I76" t="str">
        <f t="shared" si="8"/>
        <v/>
      </c>
      <c r="J76" t="str">
        <f t="shared" si="9"/>
        <v>Bernalillo</v>
      </c>
      <c r="L76" s="201"/>
      <c r="N76" s="325"/>
      <c r="Q76" s="180"/>
      <c r="AB76" s="52" t="s">
        <v>284</v>
      </c>
      <c r="AC76" s="53">
        <v>76541187</v>
      </c>
      <c r="AE76" t="s">
        <v>235</v>
      </c>
      <c r="AF76" s="87">
        <v>17960388</v>
      </c>
      <c r="AG76" s="87"/>
      <c r="AH76" s="87"/>
    </row>
    <row r="77" spans="3:34" x14ac:dyDescent="0.2">
      <c r="C77" t="s">
        <v>279</v>
      </c>
      <c r="D77" s="235">
        <f t="shared" si="5"/>
        <v>149430.75399999999</v>
      </c>
      <c r="G77" t="str">
        <f t="shared" si="6"/>
        <v/>
      </c>
      <c r="H77" t="str">
        <f t="shared" si="7"/>
        <v/>
      </c>
      <c r="I77" t="str">
        <f t="shared" si="8"/>
        <v/>
      </c>
      <c r="J77" t="str">
        <f t="shared" si="9"/>
        <v>Bloomfield</v>
      </c>
      <c r="L77" s="201"/>
      <c r="N77" s="325"/>
      <c r="Q77" s="180"/>
      <c r="AB77" t="s">
        <v>188</v>
      </c>
      <c r="AC77" s="48">
        <v>48744777</v>
      </c>
      <c r="AE77" t="s">
        <v>114</v>
      </c>
      <c r="AF77" s="87">
        <v>16653185</v>
      </c>
      <c r="AG77" s="87"/>
      <c r="AH77" s="87"/>
    </row>
    <row r="78" spans="3:34" x14ac:dyDescent="0.2">
      <c r="C78" t="s">
        <v>280</v>
      </c>
      <c r="D78" s="235">
        <f t="shared" si="5"/>
        <v>109014.292</v>
      </c>
      <c r="G78" t="str">
        <f t="shared" si="6"/>
        <v/>
      </c>
      <c r="H78" t="str">
        <f t="shared" si="7"/>
        <v/>
      </c>
      <c r="I78" t="str">
        <f t="shared" si="8"/>
        <v/>
      </c>
      <c r="J78" t="str">
        <f t="shared" si="9"/>
        <v>Bosque Farms</v>
      </c>
      <c r="L78" s="201"/>
      <c r="N78" s="325"/>
      <c r="Q78" s="180"/>
      <c r="AB78" s="52" t="s">
        <v>220</v>
      </c>
      <c r="AC78" s="53">
        <v>53408109</v>
      </c>
      <c r="AE78" t="s">
        <v>86</v>
      </c>
      <c r="AF78" s="87">
        <v>16083157</v>
      </c>
      <c r="AG78" s="87"/>
      <c r="AH78" s="87"/>
    </row>
    <row r="79" spans="3:34" x14ac:dyDescent="0.2">
      <c r="C79" t="s">
        <v>243</v>
      </c>
      <c r="D79" s="235">
        <f t="shared" si="5"/>
        <v>29533.062000000002</v>
      </c>
      <c r="G79" t="str">
        <f t="shared" si="6"/>
        <v/>
      </c>
      <c r="H79" t="str">
        <f t="shared" si="7"/>
        <v/>
      </c>
      <c r="I79" t="str">
        <f t="shared" si="8"/>
        <v>Capitan</v>
      </c>
      <c r="J79" t="str">
        <f t="shared" si="9"/>
        <v/>
      </c>
      <c r="L79" s="201"/>
      <c r="N79" s="325"/>
      <c r="Q79" s="180"/>
      <c r="AB79" t="s">
        <v>146</v>
      </c>
      <c r="AC79" s="48">
        <v>1258711</v>
      </c>
      <c r="AE79" t="s">
        <v>203</v>
      </c>
      <c r="AF79" s="48">
        <v>14591618</v>
      </c>
      <c r="AG79" s="87"/>
      <c r="AH79" s="87"/>
    </row>
    <row r="80" spans="3:34" x14ac:dyDescent="0.2">
      <c r="C80" t="s">
        <v>304</v>
      </c>
      <c r="D80" s="235">
        <f t="shared" si="5"/>
        <v>799258.36428999994</v>
      </c>
      <c r="G80" t="str">
        <f t="shared" si="6"/>
        <v/>
      </c>
      <c r="H80" t="str">
        <f t="shared" si="7"/>
        <v/>
      </c>
      <c r="I80" t="str">
        <f t="shared" si="8"/>
        <v/>
      </c>
      <c r="J80" t="str">
        <f t="shared" si="9"/>
        <v>Carlsbad</v>
      </c>
      <c r="L80" s="201"/>
      <c r="N80" s="325"/>
      <c r="Q80" s="180"/>
      <c r="AB80" s="52" t="s">
        <v>225</v>
      </c>
      <c r="AC80" s="53">
        <v>10903058</v>
      </c>
      <c r="AE80" t="s">
        <v>274</v>
      </c>
      <c r="AF80" s="87">
        <v>14421360</v>
      </c>
      <c r="AG80" s="87"/>
      <c r="AH80" s="87"/>
    </row>
    <row r="81" spans="3:34" x14ac:dyDescent="0.2">
      <c r="C81" t="s">
        <v>235</v>
      </c>
      <c r="D81" s="235">
        <f t="shared" si="5"/>
        <v>17960.387999999999</v>
      </c>
      <c r="G81" t="str">
        <f t="shared" si="6"/>
        <v/>
      </c>
      <c r="H81" t="str">
        <f t="shared" si="7"/>
        <v/>
      </c>
      <c r="I81" t="str">
        <f t="shared" si="8"/>
        <v>Carrizozo</v>
      </c>
      <c r="J81" t="str">
        <f t="shared" si="9"/>
        <v/>
      </c>
      <c r="L81" s="201"/>
      <c r="N81" s="325"/>
      <c r="Q81" s="180"/>
      <c r="AB81" t="s">
        <v>307</v>
      </c>
      <c r="AC81" s="48">
        <v>25670790</v>
      </c>
      <c r="AE81" t="s">
        <v>103</v>
      </c>
      <c r="AF81" s="48">
        <v>12849471</v>
      </c>
      <c r="AG81" s="87"/>
      <c r="AH81" s="87"/>
    </row>
    <row r="82" spans="3:34" x14ac:dyDescent="0.2">
      <c r="C82" t="s">
        <v>195</v>
      </c>
      <c r="D82" s="235">
        <f t="shared" si="5"/>
        <v>1174.3440000000001</v>
      </c>
      <c r="G82" t="str">
        <f t="shared" si="6"/>
        <v/>
      </c>
      <c r="H82" t="str">
        <f t="shared" si="7"/>
        <v>Causey</v>
      </c>
      <c r="J82" t="str">
        <f t="shared" si="9"/>
        <v/>
      </c>
      <c r="L82" s="201"/>
      <c r="N82" s="325"/>
      <c r="Q82" s="180"/>
      <c r="AB82" s="52" t="s">
        <v>287</v>
      </c>
      <c r="AC82" s="53">
        <v>71795943</v>
      </c>
      <c r="AE82" t="s">
        <v>148</v>
      </c>
      <c r="AF82" s="87">
        <v>12668950</v>
      </c>
      <c r="AG82" s="87"/>
      <c r="AH82" s="87"/>
    </row>
    <row r="83" spans="3:34" x14ac:dyDescent="0.2">
      <c r="C83" t="s">
        <v>155</v>
      </c>
      <c r="D83" s="235">
        <f t="shared" si="5"/>
        <v>29356.403999999999</v>
      </c>
      <c r="G83" t="str">
        <f t="shared" si="6"/>
        <v/>
      </c>
      <c r="H83" t="str">
        <f t="shared" si="7"/>
        <v/>
      </c>
      <c r="I83" t="str">
        <f t="shared" si="8"/>
        <v>Chama</v>
      </c>
      <c r="J83" t="str">
        <f t="shared" si="9"/>
        <v/>
      </c>
      <c r="L83" s="201"/>
      <c r="N83" s="325"/>
      <c r="Q83" s="180"/>
      <c r="AB83" t="s">
        <v>178</v>
      </c>
      <c r="AC83" s="48">
        <v>184496797</v>
      </c>
      <c r="AE83" t="s">
        <v>236</v>
      </c>
      <c r="AF83" s="48">
        <v>12560891</v>
      </c>
      <c r="AG83" s="87"/>
      <c r="AH83" s="87"/>
    </row>
    <row r="84" spans="3:34" x14ac:dyDescent="0.2">
      <c r="C84" t="s">
        <v>203</v>
      </c>
      <c r="D84" s="235">
        <f t="shared" si="5"/>
        <v>14591.618</v>
      </c>
      <c r="G84" t="str">
        <f t="shared" si="6"/>
        <v/>
      </c>
      <c r="H84" t="str">
        <f t="shared" si="7"/>
        <v/>
      </c>
      <c r="I84" t="str">
        <f t="shared" si="8"/>
        <v>Cimarron</v>
      </c>
      <c r="J84" t="str">
        <f t="shared" si="9"/>
        <v/>
      </c>
      <c r="L84" s="201"/>
      <c r="N84" s="325"/>
      <c r="Q84" s="180"/>
      <c r="AB84" s="52" t="s">
        <v>175</v>
      </c>
      <c r="AC84" s="53">
        <v>47190122</v>
      </c>
      <c r="AE84" t="s">
        <v>240</v>
      </c>
      <c r="AF84" s="87">
        <v>11741466</v>
      </c>
      <c r="AG84" s="87"/>
      <c r="AH84" s="87"/>
    </row>
    <row r="85" spans="3:34" x14ac:dyDescent="0.2">
      <c r="C85" t="s">
        <v>253</v>
      </c>
      <c r="D85" s="235">
        <f t="shared" si="5"/>
        <v>36778.555</v>
      </c>
      <c r="G85" t="str">
        <f t="shared" si="6"/>
        <v/>
      </c>
      <c r="H85" t="str">
        <f t="shared" si="7"/>
        <v/>
      </c>
      <c r="I85" t="str">
        <f t="shared" si="8"/>
        <v>Clayton</v>
      </c>
      <c r="J85" t="str">
        <f t="shared" si="9"/>
        <v/>
      </c>
      <c r="L85" s="201"/>
      <c r="N85" s="325"/>
      <c r="Q85" s="180"/>
      <c r="AB85" t="s">
        <v>212</v>
      </c>
      <c r="AC85" s="48">
        <v>99691059</v>
      </c>
      <c r="AE85" t="s">
        <v>218</v>
      </c>
      <c r="AF85" s="87">
        <v>11654761</v>
      </c>
      <c r="AG85" s="87"/>
      <c r="AH85" s="87"/>
    </row>
    <row r="86" spans="3:34" x14ac:dyDescent="0.2">
      <c r="C86" t="s">
        <v>314</v>
      </c>
      <c r="D86" s="235">
        <f t="shared" si="5"/>
        <v>65141.659</v>
      </c>
      <c r="G86" t="str">
        <f t="shared" si="6"/>
        <v/>
      </c>
      <c r="H86" t="str">
        <f t="shared" si="7"/>
        <v/>
      </c>
      <c r="I86" t="str">
        <f t="shared" si="8"/>
        <v>Cloudcroft</v>
      </c>
      <c r="J86" t="str">
        <f t="shared" si="9"/>
        <v/>
      </c>
      <c r="L86" s="201"/>
      <c r="N86" s="325"/>
      <c r="Q86" s="180"/>
      <c r="AB86" s="52" t="s">
        <v>179</v>
      </c>
      <c r="AC86" s="53">
        <v>66663034</v>
      </c>
      <c r="AE86" t="s">
        <v>225</v>
      </c>
      <c r="AF86" s="48">
        <v>10903058</v>
      </c>
      <c r="AG86" s="87"/>
      <c r="AH86" s="87"/>
    </row>
    <row r="87" spans="3:34" x14ac:dyDescent="0.2">
      <c r="C87" t="s">
        <v>246</v>
      </c>
      <c r="D87" s="235">
        <f t="shared" si="5"/>
        <v>684209.36499999999</v>
      </c>
      <c r="G87" t="str">
        <f t="shared" ref="G87:G121" si="10">IF(D87&lt;999,C87,"")</f>
        <v/>
      </c>
      <c r="H87" t="str">
        <f t="shared" ref="H87:H121" si="11">IF($D87&lt;10999,$C87,"")</f>
        <v/>
      </c>
      <c r="I87" t="str">
        <f t="shared" ref="I87:I120" si="12">IF($D87&lt;100999,$C87,"")</f>
        <v/>
      </c>
      <c r="J87" t="str">
        <f t="shared" ref="J87:J121" si="13">IF($D87&gt;100999,$C87,"")</f>
        <v>Clovis</v>
      </c>
      <c r="L87" s="201"/>
      <c r="N87" s="325"/>
      <c r="Q87" s="180"/>
      <c r="AB87" t="s">
        <v>118</v>
      </c>
      <c r="AC87" s="48">
        <v>7175228</v>
      </c>
      <c r="AE87" t="s">
        <v>133</v>
      </c>
      <c r="AF87" s="48">
        <v>9978588</v>
      </c>
      <c r="AG87" s="87"/>
      <c r="AH87" s="87"/>
    </row>
    <row r="88" spans="3:34" x14ac:dyDescent="0.2">
      <c r="C88" t="s">
        <v>271</v>
      </c>
      <c r="D88" s="235">
        <f t="shared" si="5"/>
        <v>18845.928</v>
      </c>
      <c r="G88" t="str">
        <f t="shared" si="10"/>
        <v/>
      </c>
      <c r="H88" t="str">
        <f t="shared" si="11"/>
        <v/>
      </c>
      <c r="I88" t="str">
        <f t="shared" si="12"/>
        <v>Columbus</v>
      </c>
      <c r="J88" t="str">
        <f t="shared" si="13"/>
        <v/>
      </c>
      <c r="L88" s="201"/>
      <c r="N88" s="325"/>
      <c r="Q88" s="180"/>
      <c r="AB88" s="52" t="s">
        <v>465</v>
      </c>
      <c r="AC88" s="53">
        <v>95398940</v>
      </c>
      <c r="AE88" t="s">
        <v>250</v>
      </c>
      <c r="AF88" s="87">
        <v>8573417</v>
      </c>
      <c r="AG88" s="87"/>
      <c r="AH88" s="87"/>
    </row>
    <row r="89" spans="3:34" x14ac:dyDescent="0.2">
      <c r="C89" t="s">
        <v>239</v>
      </c>
      <c r="D89" s="235">
        <f t="shared" si="5"/>
        <v>4702.3469999999998</v>
      </c>
      <c r="G89" t="str">
        <f t="shared" si="10"/>
        <v/>
      </c>
      <c r="H89" t="str">
        <f t="shared" si="11"/>
        <v>Corona</v>
      </c>
      <c r="J89" t="str">
        <f t="shared" si="13"/>
        <v/>
      </c>
      <c r="L89" s="201"/>
      <c r="N89" s="325"/>
      <c r="Q89" s="180"/>
      <c r="AB89" t="s">
        <v>95</v>
      </c>
      <c r="AC89" s="48">
        <v>2863874354</v>
      </c>
      <c r="AE89" t="s">
        <v>254</v>
      </c>
      <c r="AF89" s="48">
        <v>8523583</v>
      </c>
      <c r="AG89" s="87"/>
      <c r="AH89" s="87"/>
    </row>
    <row r="90" spans="3:34" x14ac:dyDescent="0.2">
      <c r="C90" t="s">
        <v>90</v>
      </c>
      <c r="D90" s="235">
        <f t="shared" si="5"/>
        <v>429775.03600000002</v>
      </c>
      <c r="G90" t="str">
        <f t="shared" si="10"/>
        <v/>
      </c>
      <c r="H90" t="str">
        <f t="shared" si="11"/>
        <v/>
      </c>
      <c r="I90" t="str">
        <f t="shared" si="12"/>
        <v/>
      </c>
      <c r="J90" t="str">
        <f t="shared" si="13"/>
        <v>Corrales</v>
      </c>
      <c r="L90" s="201"/>
      <c r="N90" s="325"/>
      <c r="Q90" s="180"/>
      <c r="AB90" s="52" t="s">
        <v>138</v>
      </c>
      <c r="AC90" s="53">
        <v>823832831</v>
      </c>
      <c r="AE90" t="s">
        <v>151</v>
      </c>
      <c r="AF90" s="48">
        <v>8101606</v>
      </c>
      <c r="AG90" s="87"/>
      <c r="AH90" s="87"/>
    </row>
    <row r="91" spans="3:34" x14ac:dyDescent="0.2">
      <c r="C91" t="s">
        <v>236</v>
      </c>
      <c r="D91" s="235">
        <f t="shared" si="5"/>
        <v>12560.891</v>
      </c>
      <c r="G91" t="str">
        <f t="shared" si="10"/>
        <v/>
      </c>
      <c r="H91" t="str">
        <f t="shared" si="11"/>
        <v/>
      </c>
      <c r="I91" t="str">
        <f t="shared" si="12"/>
        <v>Cuba</v>
      </c>
      <c r="J91" t="str">
        <f t="shared" si="13"/>
        <v/>
      </c>
      <c r="L91" s="201"/>
      <c r="N91" s="325"/>
      <c r="Q91" s="180"/>
      <c r="AB91" t="s">
        <v>140</v>
      </c>
      <c r="AC91" s="48">
        <v>2562675</v>
      </c>
      <c r="AE91" t="s">
        <v>144</v>
      </c>
      <c r="AF91" s="87">
        <v>8031971</v>
      </c>
      <c r="AG91" s="87"/>
      <c r="AH91" s="87"/>
    </row>
    <row r="92" spans="3:34" x14ac:dyDescent="0.2">
      <c r="C92" t="s">
        <v>267</v>
      </c>
      <c r="D92" s="235">
        <f t="shared" si="5"/>
        <v>265150.36599999998</v>
      </c>
      <c r="G92" t="str">
        <f t="shared" si="10"/>
        <v/>
      </c>
      <c r="H92" t="str">
        <f t="shared" si="11"/>
        <v/>
      </c>
      <c r="I92" t="str">
        <f t="shared" si="12"/>
        <v/>
      </c>
      <c r="J92" t="str">
        <f t="shared" si="13"/>
        <v>Deming</v>
      </c>
      <c r="L92" s="201"/>
      <c r="N92" s="325"/>
      <c r="Q92" s="180"/>
      <c r="AB92" s="52" t="s">
        <v>228</v>
      </c>
      <c r="AC92" s="53">
        <v>630721604</v>
      </c>
      <c r="AE92" t="s">
        <v>118</v>
      </c>
      <c r="AF92" s="87">
        <v>7175228</v>
      </c>
      <c r="AG92" s="87"/>
      <c r="AH92" s="87"/>
    </row>
    <row r="93" spans="3:34" x14ac:dyDescent="0.2">
      <c r="C93" t="s">
        <v>255</v>
      </c>
      <c r="D93" s="235">
        <f t="shared" si="5"/>
        <v>2557.1509999999998</v>
      </c>
      <c r="G93" t="str">
        <f t="shared" si="10"/>
        <v/>
      </c>
      <c r="H93" t="str">
        <f t="shared" si="11"/>
        <v>Des Moines</v>
      </c>
      <c r="J93" t="str">
        <f t="shared" si="13"/>
        <v/>
      </c>
      <c r="L93" s="201"/>
      <c r="N93" s="325"/>
      <c r="Q93" s="180"/>
      <c r="AB93" t="s">
        <v>232</v>
      </c>
      <c r="AC93" s="48">
        <v>57899018</v>
      </c>
      <c r="AE93" s="75" t="s">
        <v>204</v>
      </c>
      <c r="AF93" s="48">
        <v>6956788</v>
      </c>
      <c r="AG93" s="87"/>
      <c r="AH93" s="87"/>
    </row>
    <row r="94" spans="3:34" x14ac:dyDescent="0.2">
      <c r="C94" t="s">
        <v>148</v>
      </c>
      <c r="D94" s="235">
        <f t="shared" si="5"/>
        <v>12668.95</v>
      </c>
      <c r="G94" t="str">
        <f t="shared" si="10"/>
        <v/>
      </c>
      <c r="H94" t="str">
        <f t="shared" si="11"/>
        <v/>
      </c>
      <c r="I94" t="str">
        <f t="shared" si="12"/>
        <v>Dexter</v>
      </c>
      <c r="J94" t="str">
        <f t="shared" si="13"/>
        <v/>
      </c>
      <c r="L94" s="201"/>
      <c r="N94" s="325"/>
      <c r="Q94" s="180"/>
      <c r="AB94" s="52" t="s">
        <v>116</v>
      </c>
      <c r="AC94" s="53">
        <v>2945122</v>
      </c>
      <c r="AE94" t="s">
        <v>291</v>
      </c>
      <c r="AF94" s="87">
        <v>6142770</v>
      </c>
      <c r="AG94" s="87"/>
      <c r="AH94" s="87"/>
    </row>
    <row r="95" spans="3:34" x14ac:dyDescent="0.2">
      <c r="C95" t="s">
        <v>201</v>
      </c>
      <c r="D95" s="235">
        <f t="shared" si="5"/>
        <v>1225.133</v>
      </c>
      <c r="G95" t="str">
        <f t="shared" si="10"/>
        <v/>
      </c>
      <c r="H95" t="str">
        <f t="shared" si="11"/>
        <v>Dora</v>
      </c>
      <c r="J95" t="str">
        <f t="shared" si="13"/>
        <v/>
      </c>
      <c r="L95" s="201"/>
      <c r="N95" s="325"/>
      <c r="Q95" s="180"/>
      <c r="AB95" t="s">
        <v>244</v>
      </c>
      <c r="AC95" s="48">
        <v>4345870</v>
      </c>
      <c r="AE95" t="s">
        <v>130</v>
      </c>
      <c r="AF95" s="48">
        <v>5780458</v>
      </c>
      <c r="AG95" s="87"/>
      <c r="AH95" s="87"/>
    </row>
    <row r="96" spans="3:34" x14ac:dyDescent="0.2">
      <c r="C96" t="s">
        <v>206</v>
      </c>
      <c r="D96" s="235">
        <f t="shared" si="5"/>
        <v>19567.467000000001</v>
      </c>
      <c r="G96" t="str">
        <f t="shared" si="10"/>
        <v/>
      </c>
      <c r="H96" t="str">
        <f t="shared" si="11"/>
        <v/>
      </c>
      <c r="I96" t="str">
        <f t="shared" si="12"/>
        <v>Eagle Nest</v>
      </c>
      <c r="J96" t="str">
        <f t="shared" si="13"/>
        <v/>
      </c>
      <c r="L96" s="201"/>
      <c r="N96" s="325"/>
      <c r="Q96" s="180"/>
      <c r="AB96" s="52" t="s">
        <v>114</v>
      </c>
      <c r="AC96" s="53">
        <v>16653185</v>
      </c>
      <c r="AE96" t="s">
        <v>239</v>
      </c>
      <c r="AF96" s="87">
        <v>4702347</v>
      </c>
      <c r="AG96" s="87"/>
      <c r="AH96" s="87"/>
    </row>
    <row r="97" spans="3:34" x14ac:dyDescent="0.2">
      <c r="C97" t="s">
        <v>100</v>
      </c>
      <c r="D97" s="235">
        <f t="shared" si="5"/>
        <v>319083.755</v>
      </c>
      <c r="G97" t="str">
        <f t="shared" si="10"/>
        <v/>
      </c>
      <c r="H97" t="str">
        <f t="shared" si="11"/>
        <v/>
      </c>
      <c r="I97" t="str">
        <f t="shared" si="12"/>
        <v/>
      </c>
      <c r="J97" t="str">
        <f t="shared" si="13"/>
        <v>Edgewood</v>
      </c>
      <c r="L97" s="201"/>
      <c r="N97" s="325"/>
      <c r="Q97" s="180"/>
      <c r="AB97" t="s">
        <v>56</v>
      </c>
      <c r="AC97" s="48">
        <v>4946200692</v>
      </c>
      <c r="AE97" t="s">
        <v>244</v>
      </c>
      <c r="AF97" s="87">
        <v>4345870</v>
      </c>
      <c r="AG97" s="87"/>
      <c r="AH97" s="87"/>
    </row>
    <row r="98" spans="3:34" x14ac:dyDescent="0.2">
      <c r="C98" t="s">
        <v>136</v>
      </c>
      <c r="D98" s="235">
        <f t="shared" si="5"/>
        <v>63840.88</v>
      </c>
      <c r="G98" t="str">
        <f t="shared" si="10"/>
        <v/>
      </c>
      <c r="H98" t="str">
        <f t="shared" si="11"/>
        <v/>
      </c>
      <c r="I98" t="str">
        <f t="shared" si="12"/>
        <v>Elephant Butte</v>
      </c>
      <c r="J98" t="str">
        <f t="shared" si="13"/>
        <v/>
      </c>
      <c r="L98" s="201"/>
      <c r="N98" s="325"/>
      <c r="Q98" s="180"/>
      <c r="AB98" s="52" t="s">
        <v>127</v>
      </c>
      <c r="AC98" s="53">
        <v>52655703</v>
      </c>
      <c r="AE98" t="s">
        <v>230</v>
      </c>
      <c r="AF98" s="87">
        <v>3446917</v>
      </c>
      <c r="AG98" s="87"/>
      <c r="AH98" s="87"/>
    </row>
    <row r="99" spans="3:34" x14ac:dyDescent="0.2">
      <c r="C99" t="s">
        <v>184</v>
      </c>
      <c r="D99" s="235">
        <f t="shared" si="5"/>
        <v>2740.0079999999998</v>
      </c>
      <c r="G99" t="str">
        <f t="shared" si="10"/>
        <v/>
      </c>
      <c r="H99" t="str">
        <f t="shared" si="11"/>
        <v>Elida</v>
      </c>
      <c r="J99" t="str">
        <f t="shared" si="13"/>
        <v/>
      </c>
      <c r="L99" s="201"/>
      <c r="N99" s="325"/>
      <c r="Q99" s="180"/>
      <c r="AB99" t="s">
        <v>97</v>
      </c>
      <c r="AC99" s="48">
        <v>229391486</v>
      </c>
      <c r="AE99" t="s">
        <v>153</v>
      </c>
      <c r="AF99" s="48">
        <v>3352117</v>
      </c>
      <c r="AG99" s="87"/>
      <c r="AH99" s="87"/>
    </row>
    <row r="100" spans="3:34" x14ac:dyDescent="0.2">
      <c r="C100" t="s">
        <v>230</v>
      </c>
      <c r="D100" s="235">
        <f t="shared" ref="D100:D121" si="14">D41/1000</f>
        <v>3446.9169999999999</v>
      </c>
      <c r="G100" t="str">
        <f t="shared" si="10"/>
        <v/>
      </c>
      <c r="H100" t="str">
        <f t="shared" si="11"/>
        <v>Encino</v>
      </c>
      <c r="J100" t="str">
        <f t="shared" si="13"/>
        <v/>
      </c>
      <c r="L100" s="201"/>
      <c r="N100" s="325"/>
      <c r="Q100" s="180"/>
      <c r="AB100" s="52" t="s">
        <v>58</v>
      </c>
      <c r="AC100" s="53">
        <v>128523580</v>
      </c>
      <c r="AE100" t="s">
        <v>116</v>
      </c>
      <c r="AF100" s="87">
        <v>2945122</v>
      </c>
      <c r="AG100" s="87"/>
      <c r="AH100" s="87"/>
    </row>
    <row r="101" spans="3:34" x14ac:dyDescent="0.2">
      <c r="C101" t="s">
        <v>93</v>
      </c>
      <c r="D101" s="235">
        <f t="shared" si="14"/>
        <v>194934.21599999999</v>
      </c>
      <c r="G101" t="str">
        <f t="shared" si="10"/>
        <v/>
      </c>
      <c r="H101" t="str">
        <f t="shared" si="11"/>
        <v/>
      </c>
      <c r="I101" t="str">
        <f t="shared" si="12"/>
        <v/>
      </c>
      <c r="J101" t="str">
        <f t="shared" si="13"/>
        <v>Espanola</v>
      </c>
      <c r="L101" s="201"/>
      <c r="N101" s="325"/>
      <c r="Q101" s="180"/>
      <c r="AB101" t="s">
        <v>218</v>
      </c>
      <c r="AC101" s="48">
        <v>11654761</v>
      </c>
      <c r="AE101" t="s">
        <v>184</v>
      </c>
      <c r="AF101" s="87">
        <v>2740008</v>
      </c>
      <c r="AG101" s="87"/>
      <c r="AH101" s="87"/>
    </row>
    <row r="102" spans="3:34" x14ac:dyDescent="0.2">
      <c r="C102" t="s">
        <v>210</v>
      </c>
      <c r="D102" s="235">
        <f t="shared" si="14"/>
        <v>28840.475999999999</v>
      </c>
      <c r="G102" t="str">
        <f t="shared" si="10"/>
        <v/>
      </c>
      <c r="H102" t="str">
        <f t="shared" si="11"/>
        <v/>
      </c>
      <c r="I102" t="str">
        <f t="shared" si="12"/>
        <v>Estancia</v>
      </c>
      <c r="J102" t="str">
        <f t="shared" si="13"/>
        <v/>
      </c>
      <c r="L102" s="201"/>
      <c r="N102" s="325"/>
      <c r="Q102" s="180"/>
      <c r="AB102" s="52" t="s">
        <v>289</v>
      </c>
      <c r="AC102" s="53">
        <v>311430237</v>
      </c>
      <c r="AE102" t="s">
        <v>221</v>
      </c>
      <c r="AF102" s="48">
        <v>2654372</v>
      </c>
      <c r="AG102" s="87"/>
      <c r="AH102" s="87"/>
    </row>
    <row r="103" spans="3:34" x14ac:dyDescent="0.2">
      <c r="C103" t="s">
        <v>190</v>
      </c>
      <c r="D103" s="235">
        <f t="shared" si="14"/>
        <v>41437.540999999997</v>
      </c>
      <c r="H103" t="str">
        <f t="shared" si="11"/>
        <v/>
      </c>
      <c r="I103" t="str">
        <f t="shared" si="12"/>
        <v>Eunice</v>
      </c>
      <c r="J103" t="str">
        <f t="shared" si="13"/>
        <v/>
      </c>
      <c r="L103" s="201"/>
      <c r="N103" s="325"/>
      <c r="Q103" s="180"/>
      <c r="AB103" t="s">
        <v>124</v>
      </c>
      <c r="AC103" s="48">
        <v>107357753</v>
      </c>
      <c r="AE103" t="s">
        <v>140</v>
      </c>
      <c r="AF103" s="87">
        <v>2562675</v>
      </c>
      <c r="AG103" s="87"/>
      <c r="AH103" s="87"/>
    </row>
    <row r="104" spans="3:34" x14ac:dyDescent="0.2">
      <c r="C104" t="s">
        <v>276</v>
      </c>
      <c r="D104" s="235">
        <f t="shared" si="14"/>
        <v>1243471.1880000001</v>
      </c>
      <c r="G104" t="str">
        <f t="shared" si="10"/>
        <v/>
      </c>
      <c r="H104" s="335"/>
      <c r="I104" t="str">
        <f t="shared" si="12"/>
        <v/>
      </c>
      <c r="J104" t="str">
        <f t="shared" si="13"/>
        <v>Farmington</v>
      </c>
      <c r="L104" s="201"/>
      <c r="N104" s="325"/>
      <c r="Q104" s="180"/>
      <c r="AB104" s="52" t="s">
        <v>59</v>
      </c>
      <c r="AC104" s="53">
        <v>371071973</v>
      </c>
      <c r="AE104" t="s">
        <v>255</v>
      </c>
      <c r="AF104" s="87">
        <v>2557151</v>
      </c>
      <c r="AG104" s="87"/>
      <c r="AH104" s="87"/>
    </row>
    <row r="105" spans="3:34" x14ac:dyDescent="0.2">
      <c r="C105" t="s">
        <v>191</v>
      </c>
      <c r="D105" s="235">
        <f t="shared" si="14"/>
        <v>1152.4259999999999</v>
      </c>
      <c r="H105" s="335" t="s">
        <v>191</v>
      </c>
      <c r="J105" t="str">
        <f t="shared" si="13"/>
        <v/>
      </c>
      <c r="N105" s="325"/>
      <c r="Q105" s="180"/>
      <c r="AB105" t="s">
        <v>186</v>
      </c>
      <c r="AC105" s="48">
        <v>102218927</v>
      </c>
      <c r="AE105" t="s">
        <v>216</v>
      </c>
      <c r="AF105" s="48">
        <v>2272709</v>
      </c>
      <c r="AG105" s="87"/>
      <c r="AH105" s="87"/>
    </row>
    <row r="106" spans="3:34" x14ac:dyDescent="0.2">
      <c r="C106" t="s">
        <v>260</v>
      </c>
      <c r="D106" s="235">
        <f t="shared" si="14"/>
        <v>1198.405</v>
      </c>
      <c r="G106" t="str">
        <f t="shared" si="10"/>
        <v/>
      </c>
      <c r="H106" t="str">
        <f t="shared" si="11"/>
        <v>Folsom</v>
      </c>
      <c r="J106" t="str">
        <f t="shared" si="13"/>
        <v/>
      </c>
      <c r="N106" s="325"/>
      <c r="Q106" s="180"/>
      <c r="AB106" s="52" t="s">
        <v>204</v>
      </c>
      <c r="AC106" s="53">
        <v>6956788</v>
      </c>
      <c r="AE106" t="s">
        <v>146</v>
      </c>
      <c r="AF106" s="87">
        <v>1258711</v>
      </c>
      <c r="AG106" s="87"/>
      <c r="AH106" s="87"/>
    </row>
    <row r="107" spans="3:34" x14ac:dyDescent="0.2">
      <c r="C107" t="s">
        <v>274</v>
      </c>
      <c r="D107" s="235">
        <f t="shared" si="14"/>
        <v>14421.36</v>
      </c>
      <c r="G107" t="str">
        <f t="shared" si="10"/>
        <v/>
      </c>
      <c r="I107" t="str">
        <f t="shared" si="12"/>
        <v>Fort Sumner</v>
      </c>
      <c r="J107" t="str">
        <f t="shared" si="13"/>
        <v/>
      </c>
      <c r="N107" s="325"/>
      <c r="Q107" s="180"/>
      <c r="AB107" t="s">
        <v>250</v>
      </c>
      <c r="AC107" s="48">
        <v>8573417</v>
      </c>
      <c r="AE107" t="s">
        <v>169</v>
      </c>
      <c r="AF107" s="87">
        <v>1244257</v>
      </c>
      <c r="AG107" s="87"/>
      <c r="AH107" s="87"/>
    </row>
    <row r="108" spans="3:34" x14ac:dyDescent="0.2">
      <c r="C108" t="s">
        <v>278</v>
      </c>
      <c r="D108" s="235">
        <f t="shared" si="14"/>
        <v>361905.14799999999</v>
      </c>
      <c r="G108" t="str">
        <f t="shared" si="10"/>
        <v/>
      </c>
      <c r="I108" t="str">
        <f t="shared" si="12"/>
        <v/>
      </c>
      <c r="J108" t="str">
        <f t="shared" si="13"/>
        <v>Gallup</v>
      </c>
      <c r="N108" s="325"/>
      <c r="Q108" s="180"/>
      <c r="AB108" s="52" t="s">
        <v>86</v>
      </c>
      <c r="AC108" s="53">
        <v>16083157</v>
      </c>
      <c r="AE108" t="s">
        <v>201</v>
      </c>
      <c r="AF108" s="87">
        <v>1225133</v>
      </c>
      <c r="AG108" s="87"/>
      <c r="AH108" s="87"/>
    </row>
    <row r="109" spans="3:34" x14ac:dyDescent="0.2">
      <c r="C109" t="s">
        <v>257</v>
      </c>
      <c r="D109" s="235">
        <f t="shared" si="14"/>
        <v>744.45600000000002</v>
      </c>
      <c r="G109" t="str">
        <f t="shared" si="10"/>
        <v>Grady</v>
      </c>
      <c r="J109" t="str">
        <f t="shared" si="13"/>
        <v/>
      </c>
      <c r="N109" s="325"/>
      <c r="Q109" s="180"/>
      <c r="AB109" t="s">
        <v>99</v>
      </c>
      <c r="AC109" s="48">
        <v>80988345</v>
      </c>
      <c r="AE109" t="s">
        <v>260</v>
      </c>
      <c r="AF109" s="87">
        <v>1198405</v>
      </c>
      <c r="AG109" s="87"/>
      <c r="AH109" s="87"/>
    </row>
    <row r="110" spans="3:34" x14ac:dyDescent="0.2">
      <c r="C110" t="s">
        <v>181</v>
      </c>
      <c r="D110" s="235">
        <f t="shared" si="14"/>
        <v>138839.96100000001</v>
      </c>
      <c r="G110" t="str">
        <f t="shared" si="10"/>
        <v/>
      </c>
      <c r="I110" t="str">
        <f t="shared" si="12"/>
        <v/>
      </c>
      <c r="J110" t="str">
        <f t="shared" si="13"/>
        <v>Grants</v>
      </c>
      <c r="N110" s="325"/>
      <c r="Q110" s="180"/>
      <c r="AB110" s="52" t="s">
        <v>311</v>
      </c>
      <c r="AC110" s="53">
        <v>37264963</v>
      </c>
      <c r="AE110" t="s">
        <v>195</v>
      </c>
      <c r="AF110" s="48">
        <v>1174344</v>
      </c>
      <c r="AG110" s="87"/>
      <c r="AH110" s="87"/>
    </row>
    <row r="111" spans="3:34" x14ac:dyDescent="0.2">
      <c r="C111" t="s">
        <v>263</v>
      </c>
      <c r="D111" s="235">
        <f t="shared" si="14"/>
        <v>784.60199999999998</v>
      </c>
      <c r="G111" t="str">
        <f t="shared" si="10"/>
        <v>Grenville</v>
      </c>
      <c r="J111" t="str">
        <f t="shared" si="13"/>
        <v/>
      </c>
      <c r="N111" s="325"/>
      <c r="Q111" s="180"/>
      <c r="AB111" t="s">
        <v>133</v>
      </c>
      <c r="AC111" s="48">
        <v>9978588</v>
      </c>
      <c r="AE111" t="s">
        <v>191</v>
      </c>
      <c r="AF111" s="48">
        <v>1152426</v>
      </c>
      <c r="AG111" s="87"/>
      <c r="AH111" s="87">
        <f>AC116-AF116</f>
        <v>0</v>
      </c>
    </row>
    <row r="112" spans="3:34" x14ac:dyDescent="0.2">
      <c r="C112" t="s">
        <v>144</v>
      </c>
      <c r="D112" s="235">
        <f t="shared" si="14"/>
        <v>8031.9709999999995</v>
      </c>
      <c r="G112" t="str">
        <f t="shared" si="10"/>
        <v/>
      </c>
      <c r="H112" t="str">
        <f t="shared" si="11"/>
        <v>Hagerman</v>
      </c>
      <c r="J112" t="str">
        <f t="shared" si="13"/>
        <v/>
      </c>
      <c r="N112" s="325"/>
      <c r="Q112" s="180"/>
      <c r="AB112" s="52" t="s">
        <v>169</v>
      </c>
      <c r="AC112" s="53">
        <v>1244257</v>
      </c>
      <c r="AE112" t="s">
        <v>105</v>
      </c>
      <c r="AF112" s="87">
        <v>1126086</v>
      </c>
      <c r="AG112" s="87"/>
      <c r="AH112" s="87"/>
    </row>
    <row r="113" spans="3:34" x14ac:dyDescent="0.2">
      <c r="C113" t="s">
        <v>292</v>
      </c>
      <c r="D113" s="235">
        <f t="shared" si="14"/>
        <v>22641.582999999999</v>
      </c>
      <c r="G113" t="str">
        <f t="shared" si="10"/>
        <v/>
      </c>
      <c r="H113" t="str">
        <f t="shared" si="11"/>
        <v/>
      </c>
      <c r="I113" t="str">
        <f t="shared" si="12"/>
        <v>Hatch</v>
      </c>
      <c r="J113" t="str">
        <f t="shared" si="13"/>
        <v/>
      </c>
      <c r="N113" s="325"/>
      <c r="Q113" s="180"/>
      <c r="AB113" t="s">
        <v>291</v>
      </c>
      <c r="AC113" s="48">
        <v>6142770</v>
      </c>
      <c r="AE113" t="s">
        <v>78</v>
      </c>
      <c r="AF113" s="87">
        <v>1073613</v>
      </c>
      <c r="AG113" s="87"/>
      <c r="AH113" s="87"/>
    </row>
    <row r="114" spans="3:34" x14ac:dyDescent="0.2">
      <c r="C114" t="s">
        <v>193</v>
      </c>
      <c r="D114" s="235">
        <f t="shared" si="14"/>
        <v>800592.321</v>
      </c>
      <c r="G114" t="str">
        <f t="shared" si="10"/>
        <v/>
      </c>
      <c r="H114" t="str">
        <f t="shared" si="11"/>
        <v/>
      </c>
      <c r="I114" t="str">
        <f t="shared" si="12"/>
        <v/>
      </c>
      <c r="J114" t="str">
        <f t="shared" si="13"/>
        <v>Hobbs</v>
      </c>
      <c r="N114" s="325"/>
      <c r="Q114" s="180"/>
      <c r="AB114" s="52" t="s">
        <v>216</v>
      </c>
      <c r="AC114" s="53">
        <v>2272709</v>
      </c>
      <c r="AE114" t="s">
        <v>263</v>
      </c>
      <c r="AF114" s="48">
        <v>784602</v>
      </c>
      <c r="AG114" s="87"/>
      <c r="AH114" s="87"/>
    </row>
    <row r="115" spans="3:34" ht="13.5" thickBot="1" x14ac:dyDescent="0.25">
      <c r="C115" t="s">
        <v>78</v>
      </c>
      <c r="D115" s="235">
        <f t="shared" si="14"/>
        <v>1073.6130000000001</v>
      </c>
      <c r="G115" t="str">
        <f t="shared" si="10"/>
        <v/>
      </c>
      <c r="H115" t="str">
        <f t="shared" si="11"/>
        <v>Hope</v>
      </c>
      <c r="J115" t="str">
        <f t="shared" si="13"/>
        <v/>
      </c>
      <c r="M115" s="75"/>
      <c r="N115" s="325"/>
      <c r="AB115" s="391" t="s">
        <v>130</v>
      </c>
      <c r="AC115" s="389">
        <v>5780458</v>
      </c>
      <c r="AE115" t="s">
        <v>257</v>
      </c>
      <c r="AF115" s="87">
        <v>744456</v>
      </c>
    </row>
    <row r="116" spans="3:34" x14ac:dyDescent="0.2">
      <c r="C116" t="s">
        <v>105</v>
      </c>
      <c r="D116" s="235">
        <f t="shared" si="14"/>
        <v>1126.086</v>
      </c>
      <c r="H116" t="str">
        <f t="shared" si="11"/>
        <v>House</v>
      </c>
      <c r="J116" t="str">
        <f t="shared" si="13"/>
        <v/>
      </c>
      <c r="N116" s="325"/>
      <c r="AB116" s="52" t="s">
        <v>0</v>
      </c>
      <c r="AC116" s="53">
        <f>'Table 20 part 2'!D61</f>
        <v>40303538336.290001</v>
      </c>
      <c r="AE116" s="52" t="s">
        <v>0</v>
      </c>
      <c r="AF116" s="392">
        <f>SUM(AF10:AF115)</f>
        <v>40303538336.290001</v>
      </c>
      <c r="AG116" s="332" t="str">
        <f>IF(AF116=AC116,"OK","Error")</f>
        <v>OK</v>
      </c>
    </row>
    <row r="117" spans="3:34" x14ac:dyDescent="0.2">
      <c r="C117" t="s">
        <v>103</v>
      </c>
      <c r="D117" s="235">
        <f t="shared" si="14"/>
        <v>12849.471</v>
      </c>
      <c r="G117" t="str">
        <f t="shared" si="10"/>
        <v/>
      </c>
      <c r="H117" t="str">
        <f t="shared" ref="H117" si="15">IF($D117&lt;10999,$C117,"")</f>
        <v/>
      </c>
      <c r="I117" t="str">
        <f t="shared" ref="I117" si="16">IF($D117&lt;100999,$C117,"")</f>
        <v>Hurley</v>
      </c>
      <c r="J117" t="str">
        <f t="shared" si="13"/>
        <v/>
      </c>
      <c r="N117" s="180"/>
    </row>
    <row r="118" spans="3:34" x14ac:dyDescent="0.2">
      <c r="C118" t="s">
        <v>199</v>
      </c>
      <c r="D118" s="235">
        <f t="shared" si="14"/>
        <v>30806.39</v>
      </c>
      <c r="G118" t="str">
        <f t="shared" si="10"/>
        <v/>
      </c>
      <c r="H118" t="str">
        <f t="shared" si="11"/>
        <v/>
      </c>
      <c r="I118" t="str">
        <f t="shared" si="12"/>
        <v>Jal</v>
      </c>
      <c r="J118" t="str">
        <f t="shared" si="13"/>
        <v/>
      </c>
    </row>
    <row r="119" spans="3:34" x14ac:dyDescent="0.2">
      <c r="C119" t="s">
        <v>240</v>
      </c>
      <c r="D119" s="235">
        <f t="shared" si="14"/>
        <v>11741.466</v>
      </c>
      <c r="G119" t="str">
        <f t="shared" si="10"/>
        <v/>
      </c>
      <c r="H119" t="str">
        <f t="shared" si="11"/>
        <v/>
      </c>
      <c r="I119" t="str">
        <f t="shared" si="12"/>
        <v>Jemez Springs</v>
      </c>
      <c r="J119" t="str">
        <f t="shared" si="13"/>
        <v/>
      </c>
    </row>
    <row r="120" spans="3:34" x14ac:dyDescent="0.2">
      <c r="C120" t="s">
        <v>534</v>
      </c>
      <c r="D120" s="235">
        <f t="shared" si="14"/>
        <v>22506.794999999998</v>
      </c>
      <c r="G120" t="str">
        <f>IF(D120&lt;999,C120,"")</f>
        <v/>
      </c>
      <c r="H120" t="str">
        <f t="shared" si="11"/>
        <v/>
      </c>
      <c r="I120" t="str">
        <f t="shared" si="12"/>
        <v>Kirtland</v>
      </c>
    </row>
    <row r="121" spans="3:34" ht="13.5" thickBot="1" x14ac:dyDescent="0.25">
      <c r="C121" s="23" t="s">
        <v>153</v>
      </c>
      <c r="D121" s="388">
        <f t="shared" si="14"/>
        <v>3352.1170000000002</v>
      </c>
      <c r="G121" s="117" t="str">
        <f t="shared" si="10"/>
        <v/>
      </c>
      <c r="H121" s="117" t="str">
        <f t="shared" si="11"/>
        <v>Lake Arthur</v>
      </c>
      <c r="I121" s="117"/>
      <c r="J121" s="117" t="str">
        <f t="shared" si="13"/>
        <v/>
      </c>
      <c r="K121" s="117"/>
    </row>
    <row r="122" spans="3:34" x14ac:dyDescent="0.2">
      <c r="D122" s="235">
        <f>SUM(D68:D121)</f>
        <v>23677174.794289995</v>
      </c>
      <c r="F122" t="s">
        <v>460</v>
      </c>
      <c r="G122" s="144">
        <f>$D$123-COUNTBLANK(G68:G121)</f>
        <v>2</v>
      </c>
      <c r="H122" s="144">
        <f t="shared" ref="H122:J122" si="17">$D$123-COUNTBLANK(H68:H121)</f>
        <v>12</v>
      </c>
      <c r="I122" s="144">
        <f t="shared" si="17"/>
        <v>21</v>
      </c>
      <c r="J122" s="144">
        <f t="shared" si="17"/>
        <v>19</v>
      </c>
      <c r="K122" s="439">
        <f>SUM(G122:J122)</f>
        <v>54</v>
      </c>
    </row>
    <row r="123" spans="3:34" x14ac:dyDescent="0.2">
      <c r="C123" s="386" t="s">
        <v>518</v>
      </c>
      <c r="D123" s="387">
        <f>COUNT(D68:D121)</f>
        <v>54</v>
      </c>
      <c r="K123" s="332" t="str">
        <f>IF(D123=K122,"OK","Error")</f>
        <v>OK</v>
      </c>
    </row>
  </sheetData>
  <sortState xmlns:xlrd2="http://schemas.microsoft.com/office/spreadsheetml/2017/richdata2" ref="AE10:AF115">
    <sortCondition descending="1" ref="AF10:AF115"/>
  </sortState>
  <mergeCells count="2">
    <mergeCell ref="C65:J65"/>
    <mergeCell ref="AB5:AF5"/>
  </mergeCells>
  <phoneticPr fontId="38" type="noConversion"/>
  <printOptions horizontalCentered="1" verticalCentered="1"/>
  <pageMargins left="0.5" right="0.5" top="0.5" bottom="0.5" header="0" footer="0"/>
  <pageSetup scale="76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B1:AH122"/>
  <sheetViews>
    <sheetView showZeros="0" view="pageBreakPreview" topLeftCell="A17" zoomScaleNormal="100" zoomScaleSheetLayoutView="100" workbookViewId="0">
      <selection activeCell="G123" sqref="G123"/>
    </sheetView>
  </sheetViews>
  <sheetFormatPr defaultRowHeight="12.75" x14ac:dyDescent="0.2"/>
  <cols>
    <col min="3" max="3" width="14.7109375" customWidth="1"/>
    <col min="4" max="4" width="16" bestFit="1" customWidth="1"/>
    <col min="5" max="5" width="17.42578125" bestFit="1" customWidth="1"/>
    <col min="6" max="6" width="16.7109375" bestFit="1" customWidth="1"/>
    <col min="7" max="7" width="18.42578125" bestFit="1" customWidth="1"/>
    <col min="8" max="8" width="16.7109375" bestFit="1" customWidth="1"/>
    <col min="9" max="9" width="16" bestFit="1" customWidth="1"/>
    <col min="10" max="10" width="13.140625" bestFit="1" customWidth="1"/>
    <col min="12" max="12" width="0" hidden="1" customWidth="1"/>
    <col min="13" max="13" width="12.5703125" hidden="1" customWidth="1"/>
    <col min="14" max="14" width="17.28515625" hidden="1" customWidth="1"/>
    <col min="15" max="16" width="14.5703125" hidden="1" customWidth="1"/>
    <col min="17" max="17" width="0" hidden="1" customWidth="1"/>
    <col min="18" max="18" width="11.5703125" hidden="1" customWidth="1"/>
    <col min="19" max="19" width="16.42578125" hidden="1" customWidth="1"/>
    <col min="20" max="21" width="0" hidden="1" customWidth="1"/>
    <col min="22" max="22" width="18.42578125" hidden="1" customWidth="1"/>
    <col min="23" max="23" width="16.28515625" hidden="1" customWidth="1"/>
    <col min="24" max="24" width="15.42578125" hidden="1" customWidth="1"/>
    <col min="25" max="26" width="0" hidden="1" customWidth="1"/>
    <col min="27" max="27" width="15.7109375" customWidth="1"/>
    <col min="28" max="28" width="14.7109375" customWidth="1"/>
    <col min="29" max="29" width="9.42578125" customWidth="1"/>
    <col min="34" max="34" width="14.7109375" bestFit="1" customWidth="1"/>
  </cols>
  <sheetData>
    <row r="1" spans="2:24" ht="15.75" x14ac:dyDescent="0.25">
      <c r="C1" s="1" t="s">
        <v>444</v>
      </c>
    </row>
    <row r="2" spans="2:24" ht="15.75" x14ac:dyDescent="0.25">
      <c r="C2" s="3" t="s">
        <v>497</v>
      </c>
      <c r="F2" s="3" t="str">
        <f>'table 1 &amp; 2'!C2</f>
        <v>2022 Tax Year</v>
      </c>
    </row>
    <row r="4" spans="2:24" ht="16.5" x14ac:dyDescent="0.25">
      <c r="B4" s="77"/>
      <c r="C4" s="77" t="s">
        <v>331</v>
      </c>
    </row>
    <row r="5" spans="2:24" ht="16.5" x14ac:dyDescent="0.25">
      <c r="C5" s="77" t="s">
        <v>519</v>
      </c>
      <c r="D5" s="7"/>
      <c r="E5" s="6"/>
      <c r="F5" s="6"/>
      <c r="G5" s="77" t="str">
        <f>F2</f>
        <v>2022 Tax Year</v>
      </c>
      <c r="H5" s="6"/>
      <c r="I5" s="6"/>
      <c r="J5" s="6"/>
    </row>
    <row r="6" spans="2:24" ht="15" x14ac:dyDescent="0.25">
      <c r="C6" s="74"/>
      <c r="D6" s="7"/>
      <c r="E6" s="6"/>
      <c r="F6" s="6"/>
      <c r="G6" s="6"/>
      <c r="H6" s="6"/>
      <c r="I6" s="6"/>
      <c r="J6" s="6"/>
      <c r="R6" s="52" t="s">
        <v>76</v>
      </c>
      <c r="S6" s="90">
        <v>8542549448</v>
      </c>
    </row>
    <row r="7" spans="2:24" x14ac:dyDescent="0.2">
      <c r="C7" s="6"/>
      <c r="D7" s="6"/>
      <c r="E7" s="22" t="s">
        <v>9</v>
      </c>
      <c r="F7" s="21" t="s">
        <v>28</v>
      </c>
      <c r="G7" s="21"/>
      <c r="H7" s="82" t="s">
        <v>383</v>
      </c>
      <c r="I7" s="6"/>
      <c r="J7" s="6"/>
      <c r="R7" t="s">
        <v>56</v>
      </c>
      <c r="S7" s="87">
        <v>2534474103</v>
      </c>
    </row>
    <row r="8" spans="2:24" ht="13.5" thickBot="1" x14ac:dyDescent="0.25">
      <c r="C8" s="23" t="s">
        <v>75</v>
      </c>
      <c r="D8" s="68" t="s">
        <v>63</v>
      </c>
      <c r="E8" s="25" t="s">
        <v>336</v>
      </c>
      <c r="F8" s="24" t="s">
        <v>336</v>
      </c>
      <c r="G8" s="68" t="s">
        <v>29</v>
      </c>
      <c r="H8" s="25" t="s">
        <v>30</v>
      </c>
      <c r="I8" s="24" t="s">
        <v>10</v>
      </c>
      <c r="J8" s="68" t="s">
        <v>29</v>
      </c>
      <c r="M8" t="s">
        <v>306</v>
      </c>
      <c r="N8" s="48">
        <v>428554974</v>
      </c>
      <c r="O8" s="86">
        <v>310152780</v>
      </c>
      <c r="P8" s="87">
        <v>118402194</v>
      </c>
      <c r="R8" t="s">
        <v>95</v>
      </c>
      <c r="S8" s="86">
        <v>1626691648</v>
      </c>
      <c r="U8" t="s">
        <v>306</v>
      </c>
      <c r="V8" s="48">
        <v>428554974</v>
      </c>
      <c r="W8" s="86">
        <v>310152780</v>
      </c>
      <c r="X8" s="87">
        <v>118402194</v>
      </c>
    </row>
    <row r="9" spans="2:24" x14ac:dyDescent="0.2">
      <c r="C9" t="s">
        <v>281</v>
      </c>
      <c r="D9" s="48">
        <f>G9+J9</f>
        <v>2800479219</v>
      </c>
      <c r="E9" s="86">
        <v>2050464323</v>
      </c>
      <c r="F9" s="87">
        <v>750014896</v>
      </c>
      <c r="G9" s="390">
        <f>SUM(E9:F9)</f>
        <v>2800479219</v>
      </c>
      <c r="H9" s="88">
        <v>0</v>
      </c>
      <c r="I9" s="79">
        <v>0</v>
      </c>
      <c r="J9" s="79">
        <v>0</v>
      </c>
      <c r="M9" s="52" t="s">
        <v>76</v>
      </c>
      <c r="N9" s="53">
        <v>11858931422</v>
      </c>
      <c r="O9" s="89">
        <v>8542549448</v>
      </c>
      <c r="P9" s="90">
        <v>3316381974</v>
      </c>
      <c r="R9" t="s">
        <v>281</v>
      </c>
      <c r="S9" s="86">
        <v>1302198215</v>
      </c>
      <c r="U9" s="52" t="s">
        <v>76</v>
      </c>
      <c r="V9" s="53">
        <v>11858931422</v>
      </c>
      <c r="W9" s="89">
        <v>8542549448</v>
      </c>
      <c r="X9" s="90">
        <v>3316381974</v>
      </c>
    </row>
    <row r="10" spans="2:24" x14ac:dyDescent="0.2">
      <c r="C10" s="52" t="s">
        <v>299</v>
      </c>
      <c r="D10" s="53">
        <f t="shared" ref="D10:D59" si="0">G10+J10</f>
        <v>237008332</v>
      </c>
      <c r="E10" s="89">
        <v>156441307</v>
      </c>
      <c r="F10" s="90">
        <v>80567025</v>
      </c>
      <c r="G10" s="90">
        <f t="shared" ref="G10:G59" si="1">SUM(E10:F10)</f>
        <v>237008332</v>
      </c>
      <c r="H10" s="91">
        <v>0</v>
      </c>
      <c r="I10" s="81">
        <v>0</v>
      </c>
      <c r="J10" s="81">
        <v>0</v>
      </c>
      <c r="M10" t="s">
        <v>208</v>
      </c>
      <c r="N10" s="48">
        <v>262965910</v>
      </c>
      <c r="O10" s="86">
        <v>180539794</v>
      </c>
      <c r="P10" s="87">
        <v>82426116</v>
      </c>
      <c r="R10" t="s">
        <v>45</v>
      </c>
      <c r="S10" s="86">
        <v>613670270</v>
      </c>
      <c r="U10" t="s">
        <v>208</v>
      </c>
      <c r="V10" s="48">
        <v>262965910</v>
      </c>
      <c r="W10" s="86">
        <v>180539794</v>
      </c>
      <c r="X10" s="87">
        <v>82426116</v>
      </c>
    </row>
    <row r="11" spans="2:24" x14ac:dyDescent="0.2">
      <c r="C11" t="s">
        <v>111</v>
      </c>
      <c r="D11" s="48">
        <f t="shared" si="0"/>
        <v>41079924</v>
      </c>
      <c r="E11" s="86">
        <v>27161651</v>
      </c>
      <c r="F11" s="87">
        <v>13918273</v>
      </c>
      <c r="G11" s="87">
        <f t="shared" si="1"/>
        <v>41079924</v>
      </c>
      <c r="H11" s="88">
        <v>0</v>
      </c>
      <c r="I11" s="79">
        <v>0</v>
      </c>
      <c r="J11" s="79">
        <v>0</v>
      </c>
      <c r="M11" s="52" t="s">
        <v>313</v>
      </c>
      <c r="N11" s="53">
        <v>230706374.53</v>
      </c>
      <c r="O11" s="89">
        <v>85637032</v>
      </c>
      <c r="P11" s="90">
        <v>144764613</v>
      </c>
      <c r="R11" s="52" t="s">
        <v>276</v>
      </c>
      <c r="S11" s="89">
        <v>587430896</v>
      </c>
      <c r="U11" s="52" t="s">
        <v>313</v>
      </c>
      <c r="V11" s="53">
        <v>230706374.53</v>
      </c>
      <c r="W11" s="89">
        <v>85637032</v>
      </c>
      <c r="X11" s="90">
        <v>144764613</v>
      </c>
    </row>
    <row r="12" spans="2:24" x14ac:dyDescent="0.2">
      <c r="C12" s="52" t="s">
        <v>166</v>
      </c>
      <c r="D12" s="53">
        <f t="shared" si="0"/>
        <v>37434547</v>
      </c>
      <c r="E12" s="89">
        <v>12019371</v>
      </c>
      <c r="F12" s="90">
        <v>25415176</v>
      </c>
      <c r="G12" s="90">
        <f t="shared" si="1"/>
        <v>37434547</v>
      </c>
      <c r="H12" s="91">
        <v>0</v>
      </c>
      <c r="I12" s="81">
        <v>0</v>
      </c>
      <c r="J12" s="81">
        <v>0</v>
      </c>
      <c r="M12" t="s">
        <v>272</v>
      </c>
      <c r="N12" s="48">
        <v>106733148.15000001</v>
      </c>
      <c r="O12" s="86">
        <v>68396249</v>
      </c>
      <c r="P12" s="87">
        <v>33286746</v>
      </c>
      <c r="R12" s="52" t="s">
        <v>138</v>
      </c>
      <c r="S12" s="89">
        <v>370383355</v>
      </c>
      <c r="U12" t="s">
        <v>272</v>
      </c>
      <c r="V12" s="48">
        <v>106733148.15000001</v>
      </c>
      <c r="W12" s="86">
        <v>68396249</v>
      </c>
      <c r="X12" s="87">
        <v>33286746</v>
      </c>
    </row>
    <row r="13" spans="2:24" x14ac:dyDescent="0.2">
      <c r="C13" t="s">
        <v>45</v>
      </c>
      <c r="D13" s="48">
        <f t="shared" si="0"/>
        <v>921400832</v>
      </c>
      <c r="E13" s="86">
        <v>808282870</v>
      </c>
      <c r="F13" s="87">
        <v>113117962</v>
      </c>
      <c r="G13" s="87">
        <f t="shared" si="1"/>
        <v>921400832</v>
      </c>
      <c r="H13" s="88">
        <v>0</v>
      </c>
      <c r="I13" s="79">
        <v>0</v>
      </c>
      <c r="J13" s="79">
        <v>0</v>
      </c>
      <c r="M13" s="52" t="s">
        <v>109</v>
      </c>
      <c r="N13" s="53">
        <v>17256816</v>
      </c>
      <c r="O13" s="89">
        <v>13528257</v>
      </c>
      <c r="P13" s="90">
        <v>3728559</v>
      </c>
      <c r="R13" s="52" t="s">
        <v>228</v>
      </c>
      <c r="S13" s="89">
        <v>340357853</v>
      </c>
      <c r="U13" s="52" t="s">
        <v>109</v>
      </c>
      <c r="V13" s="53">
        <v>17256816</v>
      </c>
      <c r="W13" s="89">
        <v>13528257</v>
      </c>
      <c r="X13" s="90">
        <v>3728559</v>
      </c>
    </row>
    <row r="14" spans="2:24" x14ac:dyDescent="0.2">
      <c r="C14" s="52" t="s">
        <v>277</v>
      </c>
      <c r="D14" s="53">
        <f t="shared" si="0"/>
        <v>488345956</v>
      </c>
      <c r="E14" s="89">
        <v>355902975</v>
      </c>
      <c r="F14" s="90">
        <v>132442981</v>
      </c>
      <c r="G14" s="90">
        <f t="shared" si="1"/>
        <v>488345956</v>
      </c>
      <c r="H14" s="91">
        <v>0</v>
      </c>
      <c r="I14" s="81">
        <v>0</v>
      </c>
      <c r="J14" s="81">
        <v>0</v>
      </c>
      <c r="M14" t="s">
        <v>283</v>
      </c>
      <c r="N14" s="48">
        <v>103808145</v>
      </c>
      <c r="O14" s="86">
        <v>60190633</v>
      </c>
      <c r="P14" s="87">
        <v>43617512</v>
      </c>
      <c r="R14" s="52" t="s">
        <v>90</v>
      </c>
      <c r="S14" s="89">
        <v>313503887</v>
      </c>
      <c r="U14" t="s">
        <v>283</v>
      </c>
      <c r="V14" s="48">
        <v>103808145</v>
      </c>
      <c r="W14" s="86">
        <v>60190633</v>
      </c>
      <c r="X14" s="87">
        <v>43617512</v>
      </c>
    </row>
    <row r="15" spans="2:24" x14ac:dyDescent="0.2">
      <c r="C15" t="s">
        <v>82</v>
      </c>
      <c r="D15" s="48">
        <f t="shared" si="0"/>
        <v>314594399</v>
      </c>
      <c r="E15" s="86">
        <v>289240098</v>
      </c>
      <c r="F15" s="87">
        <v>25354301</v>
      </c>
      <c r="G15" s="87">
        <f t="shared" si="1"/>
        <v>314594399</v>
      </c>
      <c r="H15" s="88">
        <v>0</v>
      </c>
      <c r="I15" s="79">
        <v>0</v>
      </c>
      <c r="J15" s="79">
        <v>0</v>
      </c>
      <c r="M15" s="52" t="s">
        <v>31</v>
      </c>
      <c r="N15" s="53">
        <v>170546103</v>
      </c>
      <c r="O15" s="89">
        <v>103213001</v>
      </c>
      <c r="P15" s="90">
        <v>67333102</v>
      </c>
      <c r="R15" t="s">
        <v>306</v>
      </c>
      <c r="S15" s="86">
        <v>310152780</v>
      </c>
      <c r="U15" s="52" t="s">
        <v>31</v>
      </c>
      <c r="V15" s="53">
        <v>170546103</v>
      </c>
      <c r="W15" s="89">
        <v>103213001</v>
      </c>
      <c r="X15" s="90">
        <v>67333102</v>
      </c>
    </row>
    <row r="16" spans="2:24" x14ac:dyDescent="0.2">
      <c r="C16" s="52" t="s">
        <v>309</v>
      </c>
      <c r="D16" s="53">
        <f t="shared" si="0"/>
        <v>18244600</v>
      </c>
      <c r="E16" s="89">
        <v>10031901</v>
      </c>
      <c r="F16" s="90">
        <v>8212699</v>
      </c>
      <c r="G16" s="90">
        <f t="shared" si="1"/>
        <v>18244600</v>
      </c>
      <c r="H16" s="91">
        <v>0</v>
      </c>
      <c r="I16" s="81">
        <v>0</v>
      </c>
      <c r="J16" s="81">
        <v>0</v>
      </c>
      <c r="M16" t="s">
        <v>279</v>
      </c>
      <c r="N16" s="48">
        <v>103447058.67</v>
      </c>
      <c r="O16" s="86">
        <v>60718988</v>
      </c>
      <c r="P16" s="87">
        <v>41214694</v>
      </c>
      <c r="R16" t="s">
        <v>246</v>
      </c>
      <c r="S16" s="86">
        <v>299381648</v>
      </c>
      <c r="U16" t="s">
        <v>279</v>
      </c>
      <c r="V16" s="48">
        <v>103447058.67</v>
      </c>
      <c r="W16" s="86">
        <v>60718988</v>
      </c>
      <c r="X16" s="87">
        <v>41214694</v>
      </c>
    </row>
    <row r="17" spans="3:24" x14ac:dyDescent="0.2">
      <c r="C17" t="s">
        <v>183</v>
      </c>
      <c r="D17" s="48">
        <f t="shared" si="0"/>
        <v>120933194</v>
      </c>
      <c r="E17" s="86">
        <v>89641340</v>
      </c>
      <c r="F17" s="87">
        <v>31291854</v>
      </c>
      <c r="G17" s="87">
        <f t="shared" si="1"/>
        <v>120933194</v>
      </c>
      <c r="H17" s="88">
        <v>0</v>
      </c>
      <c r="I17" s="79">
        <v>0</v>
      </c>
      <c r="J17" s="79">
        <v>0</v>
      </c>
      <c r="M17" s="52" t="s">
        <v>280</v>
      </c>
      <c r="N17" s="53">
        <v>76197138</v>
      </c>
      <c r="O17" s="89">
        <v>62116034</v>
      </c>
      <c r="P17" s="90">
        <v>14081104</v>
      </c>
      <c r="R17" s="52" t="s">
        <v>277</v>
      </c>
      <c r="S17" s="89">
        <v>215132265</v>
      </c>
      <c r="U17" s="52" t="s">
        <v>280</v>
      </c>
      <c r="V17" s="53">
        <v>76197138</v>
      </c>
      <c r="W17" s="89">
        <v>62116034</v>
      </c>
      <c r="X17" s="90">
        <v>14081104</v>
      </c>
    </row>
    <row r="18" spans="3:24" x14ac:dyDescent="0.2">
      <c r="C18" s="52" t="s">
        <v>151</v>
      </c>
      <c r="D18" s="53">
        <f t="shared" si="0"/>
        <v>8101606</v>
      </c>
      <c r="E18" s="89">
        <v>5488853</v>
      </c>
      <c r="F18" s="90">
        <v>2612753</v>
      </c>
      <c r="G18" s="90">
        <f t="shared" si="1"/>
        <v>8101606</v>
      </c>
      <c r="H18" s="91">
        <v>0</v>
      </c>
      <c r="I18" s="81">
        <v>0</v>
      </c>
      <c r="J18" s="81">
        <v>0</v>
      </c>
      <c r="M18" t="s">
        <v>243</v>
      </c>
      <c r="N18" s="48">
        <v>19118986</v>
      </c>
      <c r="O18" s="86">
        <v>14814561</v>
      </c>
      <c r="P18" s="87">
        <v>4304425</v>
      </c>
      <c r="R18" s="52" t="s">
        <v>193</v>
      </c>
      <c r="S18" s="89">
        <v>202352989</v>
      </c>
      <c r="U18" t="s">
        <v>243</v>
      </c>
      <c r="V18" s="48">
        <v>19118986</v>
      </c>
      <c r="W18" s="86">
        <v>14814561</v>
      </c>
      <c r="X18" s="87">
        <v>4304425</v>
      </c>
    </row>
    <row r="19" spans="3:24" x14ac:dyDescent="0.2">
      <c r="C19" t="s">
        <v>221</v>
      </c>
      <c r="D19" s="48">
        <f t="shared" si="0"/>
        <v>2654372</v>
      </c>
      <c r="E19" s="86">
        <v>1663704</v>
      </c>
      <c r="F19" s="87">
        <v>990668</v>
      </c>
      <c r="G19" s="87">
        <f t="shared" si="1"/>
        <v>2654372</v>
      </c>
      <c r="H19" s="88">
        <v>0</v>
      </c>
      <c r="I19" s="79">
        <v>0</v>
      </c>
      <c r="J19" s="79">
        <v>0</v>
      </c>
      <c r="M19" s="52" t="s">
        <v>304</v>
      </c>
      <c r="N19" s="53">
        <v>325270830.75</v>
      </c>
      <c r="O19" s="89">
        <v>201288132</v>
      </c>
      <c r="P19" s="90">
        <v>112228057</v>
      </c>
      <c r="R19" s="52" t="s">
        <v>304</v>
      </c>
      <c r="S19" s="89">
        <v>201288132</v>
      </c>
      <c r="U19" s="52" t="s">
        <v>304</v>
      </c>
      <c r="V19" s="53">
        <v>325270830.75</v>
      </c>
      <c r="W19" s="89">
        <v>201288132</v>
      </c>
      <c r="X19" s="90">
        <v>112228057</v>
      </c>
    </row>
    <row r="20" spans="3:24" x14ac:dyDescent="0.2">
      <c r="C20" s="52" t="s">
        <v>254</v>
      </c>
      <c r="D20" s="53">
        <f t="shared" si="0"/>
        <v>8523583</v>
      </c>
      <c r="E20" s="89">
        <v>4783918</v>
      </c>
      <c r="F20" s="90">
        <v>3739665</v>
      </c>
      <c r="G20" s="90">
        <f t="shared" si="1"/>
        <v>8523583</v>
      </c>
      <c r="H20" s="91">
        <v>0</v>
      </c>
      <c r="I20" s="81">
        <v>0</v>
      </c>
      <c r="J20" s="81">
        <v>0</v>
      </c>
      <c r="M20" t="s">
        <v>235</v>
      </c>
      <c r="N20" s="48">
        <v>11814211</v>
      </c>
      <c r="O20" s="86">
        <v>6200644</v>
      </c>
      <c r="P20" s="87">
        <v>5613567</v>
      </c>
      <c r="R20" s="52" t="s">
        <v>278</v>
      </c>
      <c r="S20" s="89">
        <v>197141242</v>
      </c>
      <c r="U20" t="s">
        <v>235</v>
      </c>
      <c r="V20" s="48">
        <v>11814211</v>
      </c>
      <c r="W20" s="86">
        <v>6200644</v>
      </c>
      <c r="X20" s="87">
        <v>5613567</v>
      </c>
    </row>
    <row r="21" spans="3:24" x14ac:dyDescent="0.2">
      <c r="C21" t="s">
        <v>284</v>
      </c>
      <c r="D21" s="48">
        <f t="shared" si="0"/>
        <v>76541187</v>
      </c>
      <c r="E21" s="86">
        <v>65025239</v>
      </c>
      <c r="F21" s="87">
        <v>11515948</v>
      </c>
      <c r="G21" s="87">
        <f t="shared" si="1"/>
        <v>76541187</v>
      </c>
      <c r="H21" s="88">
        <v>0</v>
      </c>
      <c r="I21" s="79">
        <v>0</v>
      </c>
      <c r="J21" s="79">
        <v>0</v>
      </c>
      <c r="M21" s="52" t="s">
        <v>195</v>
      </c>
      <c r="N21" s="53">
        <v>694751</v>
      </c>
      <c r="O21" s="89">
        <v>194451</v>
      </c>
      <c r="P21" s="90">
        <v>500300</v>
      </c>
      <c r="R21" t="s">
        <v>82</v>
      </c>
      <c r="S21" s="86">
        <v>194216890</v>
      </c>
      <c r="U21" s="52" t="s">
        <v>195</v>
      </c>
      <c r="V21" s="53">
        <v>694751</v>
      </c>
      <c r="W21" s="89">
        <v>194451</v>
      </c>
      <c r="X21" s="90">
        <v>500300</v>
      </c>
    </row>
    <row r="22" spans="3:24" x14ac:dyDescent="0.2">
      <c r="C22" s="52" t="s">
        <v>188</v>
      </c>
      <c r="D22" s="53">
        <f t="shared" si="0"/>
        <v>48744777</v>
      </c>
      <c r="E22" s="89">
        <v>12310442</v>
      </c>
      <c r="F22" s="90">
        <v>36434335</v>
      </c>
      <c r="G22" s="90">
        <f t="shared" si="1"/>
        <v>48744777</v>
      </c>
      <c r="H22" s="91">
        <v>0</v>
      </c>
      <c r="I22" s="81">
        <v>0</v>
      </c>
      <c r="J22" s="81">
        <v>0</v>
      </c>
      <c r="M22" t="s">
        <v>155</v>
      </c>
      <c r="N22" s="48">
        <v>22987967</v>
      </c>
      <c r="O22" s="86">
        <v>12523241</v>
      </c>
      <c r="P22" s="87">
        <v>10464726</v>
      </c>
      <c r="R22" t="s">
        <v>208</v>
      </c>
      <c r="S22" s="86">
        <v>180539794</v>
      </c>
      <c r="U22" t="s">
        <v>155</v>
      </c>
      <c r="V22" s="48">
        <v>22987967</v>
      </c>
      <c r="W22" s="86">
        <v>12523241</v>
      </c>
      <c r="X22" s="87">
        <v>10464726</v>
      </c>
    </row>
    <row r="23" spans="3:24" x14ac:dyDescent="0.2">
      <c r="C23" t="s">
        <v>220</v>
      </c>
      <c r="D23" s="48">
        <f t="shared" si="0"/>
        <v>53408109</v>
      </c>
      <c r="E23" s="86">
        <v>19092799</v>
      </c>
      <c r="F23" s="87">
        <v>34315310</v>
      </c>
      <c r="G23" s="87">
        <f t="shared" si="1"/>
        <v>53408109</v>
      </c>
      <c r="H23" s="88">
        <v>0</v>
      </c>
      <c r="I23" s="79">
        <v>0</v>
      </c>
      <c r="J23" s="79">
        <v>0</v>
      </c>
      <c r="M23" s="52" t="s">
        <v>203</v>
      </c>
      <c r="N23" s="53">
        <v>10978240</v>
      </c>
      <c r="O23" s="89">
        <v>7814081</v>
      </c>
      <c r="P23" s="90">
        <v>3164159</v>
      </c>
      <c r="R23" s="52" t="s">
        <v>59</v>
      </c>
      <c r="S23" s="89">
        <v>150086720</v>
      </c>
      <c r="U23" s="52" t="s">
        <v>203</v>
      </c>
      <c r="V23" s="53">
        <v>10978240</v>
      </c>
      <c r="W23" s="89">
        <v>7814081</v>
      </c>
      <c r="X23" s="90">
        <v>3164159</v>
      </c>
    </row>
    <row r="24" spans="3:24" x14ac:dyDescent="0.2">
      <c r="C24" s="52" t="s">
        <v>146</v>
      </c>
      <c r="D24" s="53">
        <f t="shared" si="0"/>
        <v>1258711</v>
      </c>
      <c r="E24" s="89">
        <v>624840</v>
      </c>
      <c r="F24" s="90">
        <v>633871</v>
      </c>
      <c r="G24" s="90">
        <f t="shared" si="1"/>
        <v>1258711</v>
      </c>
      <c r="H24" s="91">
        <v>0</v>
      </c>
      <c r="I24" s="81">
        <v>0</v>
      </c>
      <c r="J24" s="81">
        <v>0</v>
      </c>
      <c r="M24" t="s">
        <v>253</v>
      </c>
      <c r="N24" s="48">
        <v>24612945</v>
      </c>
      <c r="O24" s="86">
        <v>14553874</v>
      </c>
      <c r="P24" s="87">
        <v>10059071</v>
      </c>
      <c r="R24" s="52" t="s">
        <v>267</v>
      </c>
      <c r="S24" s="89">
        <v>116204579</v>
      </c>
      <c r="U24" t="s">
        <v>253</v>
      </c>
      <c r="V24" s="48">
        <v>24612945</v>
      </c>
      <c r="W24" s="86">
        <v>14553874</v>
      </c>
      <c r="X24" s="87">
        <v>10059071</v>
      </c>
    </row>
    <row r="25" spans="3:24" x14ac:dyDescent="0.2">
      <c r="C25" t="s">
        <v>225</v>
      </c>
      <c r="D25" s="48">
        <f t="shared" si="0"/>
        <v>10903058</v>
      </c>
      <c r="E25" s="86">
        <v>7071331</v>
      </c>
      <c r="F25" s="87">
        <v>3831727</v>
      </c>
      <c r="G25" s="87">
        <f t="shared" si="1"/>
        <v>10903058</v>
      </c>
      <c r="H25" s="88">
        <v>0</v>
      </c>
      <c r="I25" s="79">
        <v>0</v>
      </c>
      <c r="J25" s="79">
        <v>0</v>
      </c>
      <c r="M25" s="52" t="s">
        <v>314</v>
      </c>
      <c r="N25" s="53">
        <v>40830195</v>
      </c>
      <c r="O25" s="89">
        <v>30118012</v>
      </c>
      <c r="P25" s="90">
        <v>10712183</v>
      </c>
      <c r="R25" t="s">
        <v>97</v>
      </c>
      <c r="S25" s="86">
        <v>114246521</v>
      </c>
      <c r="U25" s="52" t="s">
        <v>314</v>
      </c>
      <c r="V25" s="53">
        <v>40830195</v>
      </c>
      <c r="W25" s="89">
        <v>30118012</v>
      </c>
      <c r="X25" s="90">
        <v>10712183</v>
      </c>
    </row>
    <row r="26" spans="3:24" x14ac:dyDescent="0.2">
      <c r="C26" s="52" t="s">
        <v>307</v>
      </c>
      <c r="D26" s="53">
        <f t="shared" si="0"/>
        <v>25670790</v>
      </c>
      <c r="E26" s="89">
        <v>21328815</v>
      </c>
      <c r="F26" s="90">
        <v>4341975</v>
      </c>
      <c r="G26" s="90">
        <f t="shared" si="1"/>
        <v>25670790</v>
      </c>
      <c r="H26" s="91">
        <v>0</v>
      </c>
      <c r="I26" s="81">
        <v>0</v>
      </c>
      <c r="J26" s="81">
        <v>0</v>
      </c>
      <c r="M26" t="s">
        <v>246</v>
      </c>
      <c r="N26" s="48">
        <v>422518759</v>
      </c>
      <c r="O26" s="86">
        <v>299381648</v>
      </c>
      <c r="P26" s="87">
        <v>123137111</v>
      </c>
      <c r="R26" s="52" t="s">
        <v>299</v>
      </c>
      <c r="S26" s="89">
        <v>111040920</v>
      </c>
      <c r="U26" t="s">
        <v>246</v>
      </c>
      <c r="V26" s="48">
        <v>422518759</v>
      </c>
      <c r="W26" s="86">
        <v>299381648</v>
      </c>
      <c r="X26" s="87">
        <v>123137111</v>
      </c>
    </row>
    <row r="27" spans="3:24" x14ac:dyDescent="0.2">
      <c r="C27" t="s">
        <v>287</v>
      </c>
      <c r="D27" s="48">
        <f t="shared" si="0"/>
        <v>71795943</v>
      </c>
      <c r="E27" s="86">
        <v>64725421</v>
      </c>
      <c r="F27" s="87">
        <v>7070522</v>
      </c>
      <c r="G27" s="87">
        <f t="shared" si="1"/>
        <v>71795943</v>
      </c>
      <c r="H27" s="88">
        <v>0</v>
      </c>
      <c r="I27" s="79">
        <v>0</v>
      </c>
      <c r="J27" s="79">
        <v>0</v>
      </c>
      <c r="M27" s="52" t="s">
        <v>271</v>
      </c>
      <c r="N27" s="53">
        <v>11686928</v>
      </c>
      <c r="O27" s="89">
        <v>7476509</v>
      </c>
      <c r="P27" s="90">
        <v>4210419</v>
      </c>
      <c r="R27" s="52" t="s">
        <v>31</v>
      </c>
      <c r="S27" s="89">
        <v>103213001</v>
      </c>
      <c r="U27" s="52" t="s">
        <v>271</v>
      </c>
      <c r="V27" s="53">
        <v>11686928</v>
      </c>
      <c r="W27" s="89">
        <v>7476509</v>
      </c>
      <c r="X27" s="90">
        <v>4210419</v>
      </c>
    </row>
    <row r="28" spans="3:24" x14ac:dyDescent="0.2">
      <c r="C28" s="52" t="s">
        <v>178</v>
      </c>
      <c r="D28" s="53">
        <f t="shared" si="0"/>
        <v>184496797</v>
      </c>
      <c r="E28" s="89">
        <v>130856775</v>
      </c>
      <c r="F28" s="90">
        <v>53640022</v>
      </c>
      <c r="G28" s="90">
        <f t="shared" si="1"/>
        <v>184496797</v>
      </c>
      <c r="H28" s="91">
        <v>0</v>
      </c>
      <c r="I28" s="81">
        <v>0</v>
      </c>
      <c r="J28" s="81">
        <v>0</v>
      </c>
      <c r="M28" t="s">
        <v>239</v>
      </c>
      <c r="N28" s="48">
        <v>2494034</v>
      </c>
      <c r="O28" s="86">
        <v>1157016</v>
      </c>
      <c r="P28" s="87">
        <v>1337018</v>
      </c>
      <c r="R28" t="s">
        <v>93</v>
      </c>
      <c r="S28" s="86">
        <v>90669497</v>
      </c>
      <c r="U28" t="s">
        <v>239</v>
      </c>
      <c r="V28" s="48">
        <v>2494034</v>
      </c>
      <c r="W28" s="86">
        <v>1157016</v>
      </c>
      <c r="X28" s="87">
        <v>1337018</v>
      </c>
    </row>
    <row r="29" spans="3:24" x14ac:dyDescent="0.2">
      <c r="C29" t="s">
        <v>175</v>
      </c>
      <c r="D29" s="48">
        <f t="shared" si="0"/>
        <v>47190122</v>
      </c>
      <c r="E29" s="86">
        <v>22756030</v>
      </c>
      <c r="F29" s="87">
        <v>24434092</v>
      </c>
      <c r="G29" s="87">
        <f t="shared" si="1"/>
        <v>47190122</v>
      </c>
      <c r="H29" s="88">
        <v>0</v>
      </c>
      <c r="I29" s="79">
        <v>0</v>
      </c>
      <c r="J29" s="79">
        <v>0</v>
      </c>
      <c r="M29" s="52" t="s">
        <v>90</v>
      </c>
      <c r="N29" s="53">
        <v>358678730</v>
      </c>
      <c r="O29" s="89">
        <v>313503887</v>
      </c>
      <c r="P29" s="90">
        <v>45174843</v>
      </c>
      <c r="R29" s="52" t="s">
        <v>313</v>
      </c>
      <c r="S29" s="89">
        <v>85637032</v>
      </c>
      <c r="U29" s="52" t="s">
        <v>90</v>
      </c>
      <c r="V29" s="53">
        <v>358678730</v>
      </c>
      <c r="W29" s="89">
        <v>313503887</v>
      </c>
      <c r="X29" s="90">
        <v>45174843</v>
      </c>
    </row>
    <row r="30" spans="3:24" x14ac:dyDescent="0.2">
      <c r="C30" s="52" t="s">
        <v>212</v>
      </c>
      <c r="D30" s="53">
        <f t="shared" si="0"/>
        <v>99691059</v>
      </c>
      <c r="E30" s="89">
        <v>63003995</v>
      </c>
      <c r="F30" s="90">
        <v>36687064</v>
      </c>
      <c r="G30" s="90">
        <f t="shared" si="1"/>
        <v>99691059</v>
      </c>
      <c r="H30" s="91">
        <v>0</v>
      </c>
      <c r="I30" s="81">
        <v>0</v>
      </c>
      <c r="J30" s="81">
        <v>0</v>
      </c>
      <c r="M30" t="s">
        <v>236</v>
      </c>
      <c r="N30" s="48">
        <v>7560587</v>
      </c>
      <c r="O30" s="86">
        <v>2722635</v>
      </c>
      <c r="P30" s="87">
        <v>4837952</v>
      </c>
      <c r="R30" s="52" t="s">
        <v>289</v>
      </c>
      <c r="S30" s="89">
        <v>73072672</v>
      </c>
      <c r="U30" t="s">
        <v>236</v>
      </c>
      <c r="V30" s="48">
        <v>7560587</v>
      </c>
      <c r="W30" s="86">
        <v>2722635</v>
      </c>
      <c r="X30" s="87">
        <v>4837952</v>
      </c>
    </row>
    <row r="31" spans="3:24" x14ac:dyDescent="0.2">
      <c r="C31" t="s">
        <v>179</v>
      </c>
      <c r="D31" s="48">
        <f t="shared" si="0"/>
        <v>66663034</v>
      </c>
      <c r="E31" s="86">
        <v>42287255</v>
      </c>
      <c r="F31" s="87">
        <v>24375779</v>
      </c>
      <c r="G31" s="87">
        <f t="shared" si="1"/>
        <v>66663034</v>
      </c>
      <c r="H31" s="88">
        <v>0</v>
      </c>
      <c r="I31" s="79">
        <v>0</v>
      </c>
      <c r="J31" s="79">
        <v>0</v>
      </c>
      <c r="M31" s="52" t="s">
        <v>267</v>
      </c>
      <c r="N31" s="53">
        <v>183824725</v>
      </c>
      <c r="O31" s="89">
        <v>116204579</v>
      </c>
      <c r="P31" s="90">
        <v>67620146</v>
      </c>
      <c r="R31" s="52" t="s">
        <v>178</v>
      </c>
      <c r="S31" s="89">
        <v>72046202</v>
      </c>
      <c r="U31" s="52" t="s">
        <v>267</v>
      </c>
      <c r="V31" s="53">
        <v>183824725</v>
      </c>
      <c r="W31" s="89">
        <v>116204579</v>
      </c>
      <c r="X31" s="90">
        <v>67620146</v>
      </c>
    </row>
    <row r="32" spans="3:24" x14ac:dyDescent="0.2">
      <c r="C32" s="52" t="s">
        <v>118</v>
      </c>
      <c r="D32" s="53">
        <f t="shared" si="0"/>
        <v>7175228</v>
      </c>
      <c r="E32" s="89">
        <v>3129871</v>
      </c>
      <c r="F32" s="90">
        <v>4045357</v>
      </c>
      <c r="G32" s="90">
        <f t="shared" si="1"/>
        <v>7175228</v>
      </c>
      <c r="H32" s="91">
        <v>0</v>
      </c>
      <c r="I32" s="81">
        <v>0</v>
      </c>
      <c r="J32" s="81">
        <v>0</v>
      </c>
      <c r="M32" t="s">
        <v>255</v>
      </c>
      <c r="N32" s="48">
        <v>1956789</v>
      </c>
      <c r="O32" s="86">
        <v>702413</v>
      </c>
      <c r="P32" s="87">
        <v>1254376</v>
      </c>
      <c r="R32" t="s">
        <v>272</v>
      </c>
      <c r="S32" s="86">
        <v>68396249</v>
      </c>
      <c r="U32" t="s">
        <v>255</v>
      </c>
      <c r="V32" s="48">
        <v>1956789</v>
      </c>
      <c r="W32" s="86">
        <v>702413</v>
      </c>
      <c r="X32" s="87">
        <v>1254376</v>
      </c>
    </row>
    <row r="33" spans="3:24" x14ac:dyDescent="0.2">
      <c r="C33" t="s">
        <v>465</v>
      </c>
      <c r="D33" s="48">
        <f t="shared" si="0"/>
        <v>95398940</v>
      </c>
      <c r="E33" s="86">
        <v>84901537</v>
      </c>
      <c r="F33" s="87">
        <v>10497403</v>
      </c>
      <c r="G33" s="87">
        <f t="shared" si="1"/>
        <v>95398940</v>
      </c>
      <c r="H33" s="88">
        <v>0</v>
      </c>
      <c r="I33" s="79">
        <v>0</v>
      </c>
      <c r="J33" s="79">
        <v>0</v>
      </c>
      <c r="M33" s="52" t="s">
        <v>148</v>
      </c>
      <c r="N33" s="53">
        <v>7263480</v>
      </c>
      <c r="O33" s="89">
        <v>5395980</v>
      </c>
      <c r="P33" s="90">
        <v>1867500</v>
      </c>
      <c r="R33" s="52" t="s">
        <v>58</v>
      </c>
      <c r="S33" s="89">
        <v>64369373</v>
      </c>
      <c r="U33" s="52" t="s">
        <v>148</v>
      </c>
      <c r="V33" s="53">
        <v>7263480</v>
      </c>
      <c r="W33" s="89">
        <v>5395980</v>
      </c>
      <c r="X33" s="90">
        <v>1867500</v>
      </c>
    </row>
    <row r="34" spans="3:24" x14ac:dyDescent="0.2">
      <c r="C34" s="52" t="s">
        <v>95</v>
      </c>
      <c r="D34" s="53">
        <f t="shared" si="0"/>
        <v>2863874354</v>
      </c>
      <c r="E34" s="89">
        <v>2413037418</v>
      </c>
      <c r="F34" s="90">
        <v>450836936</v>
      </c>
      <c r="G34" s="90">
        <f t="shared" si="1"/>
        <v>2863874354</v>
      </c>
      <c r="H34" s="91">
        <v>0</v>
      </c>
      <c r="I34" s="81">
        <v>0</v>
      </c>
      <c r="J34" s="81">
        <v>0</v>
      </c>
      <c r="M34" t="s">
        <v>201</v>
      </c>
      <c r="N34" s="48">
        <v>770809</v>
      </c>
      <c r="O34" s="86">
        <v>517596</v>
      </c>
      <c r="P34" s="87">
        <v>253213</v>
      </c>
      <c r="R34" s="52" t="s">
        <v>280</v>
      </c>
      <c r="S34" s="89">
        <v>62116034</v>
      </c>
      <c r="U34" t="s">
        <v>201</v>
      </c>
      <c r="V34" s="48">
        <v>770809</v>
      </c>
      <c r="W34" s="86">
        <v>517596</v>
      </c>
      <c r="X34" s="87">
        <v>253213</v>
      </c>
    </row>
    <row r="35" spans="3:24" x14ac:dyDescent="0.2">
      <c r="C35" t="s">
        <v>138</v>
      </c>
      <c r="D35" s="48">
        <f t="shared" si="0"/>
        <v>823832831</v>
      </c>
      <c r="E35" s="86">
        <v>568648176</v>
      </c>
      <c r="F35" s="87">
        <v>255184655</v>
      </c>
      <c r="G35" s="87">
        <f t="shared" si="1"/>
        <v>823832831</v>
      </c>
      <c r="H35" s="88">
        <v>0</v>
      </c>
      <c r="I35" s="79">
        <v>0</v>
      </c>
      <c r="J35" s="79">
        <v>0</v>
      </c>
      <c r="M35" s="52" t="s">
        <v>206</v>
      </c>
      <c r="N35" s="53">
        <v>14867872</v>
      </c>
      <c r="O35" s="89">
        <v>8710432</v>
      </c>
      <c r="P35" s="90">
        <v>6157440</v>
      </c>
      <c r="R35" t="s">
        <v>279</v>
      </c>
      <c r="S35" s="86">
        <v>60718988</v>
      </c>
      <c r="U35" s="52" t="s">
        <v>206</v>
      </c>
      <c r="V35" s="53">
        <v>14867872</v>
      </c>
      <c r="W35" s="89">
        <v>8710432</v>
      </c>
      <c r="X35" s="90">
        <v>6157440</v>
      </c>
    </row>
    <row r="36" spans="3:24" x14ac:dyDescent="0.2">
      <c r="C36" s="52" t="s">
        <v>140</v>
      </c>
      <c r="D36" s="53">
        <f t="shared" si="0"/>
        <v>2562675</v>
      </c>
      <c r="E36" s="89">
        <v>1462334</v>
      </c>
      <c r="F36" s="90">
        <v>1100341</v>
      </c>
      <c r="G36" s="90">
        <f t="shared" si="1"/>
        <v>2562675</v>
      </c>
      <c r="H36" s="91">
        <v>0</v>
      </c>
      <c r="I36" s="81">
        <v>0</v>
      </c>
      <c r="J36" s="81">
        <v>0</v>
      </c>
      <c r="M36" t="s">
        <v>100</v>
      </c>
      <c r="N36" s="48">
        <v>82832268</v>
      </c>
      <c r="O36" s="86">
        <v>53618195</v>
      </c>
      <c r="P36" s="87">
        <v>29214073</v>
      </c>
      <c r="R36" t="s">
        <v>283</v>
      </c>
      <c r="S36" s="86">
        <v>60190633</v>
      </c>
      <c r="U36" t="s">
        <v>100</v>
      </c>
      <c r="V36" s="48">
        <v>82832268</v>
      </c>
      <c r="W36" s="86">
        <v>53618195</v>
      </c>
      <c r="X36" s="87">
        <v>29214073</v>
      </c>
    </row>
    <row r="37" spans="3:24" x14ac:dyDescent="0.2">
      <c r="C37" t="s">
        <v>228</v>
      </c>
      <c r="D37" s="48">
        <f t="shared" si="0"/>
        <v>630721604</v>
      </c>
      <c r="E37" s="86">
        <v>430817334</v>
      </c>
      <c r="F37" s="87">
        <v>199904270</v>
      </c>
      <c r="G37" s="87">
        <f t="shared" si="1"/>
        <v>630721604</v>
      </c>
      <c r="H37" s="88">
        <v>0</v>
      </c>
      <c r="I37" s="79">
        <v>0</v>
      </c>
      <c r="J37" s="79">
        <v>0</v>
      </c>
      <c r="M37" s="52" t="s">
        <v>136</v>
      </c>
      <c r="N37" s="53">
        <v>57347575</v>
      </c>
      <c r="O37" s="89">
        <v>36544355</v>
      </c>
      <c r="P37" s="90">
        <v>20803220</v>
      </c>
      <c r="R37" s="52" t="s">
        <v>212</v>
      </c>
      <c r="S37" s="89">
        <v>56750303</v>
      </c>
      <c r="U37" s="52" t="s">
        <v>136</v>
      </c>
      <c r="V37" s="53">
        <v>57347575</v>
      </c>
      <c r="W37" s="89">
        <v>36544355</v>
      </c>
      <c r="X37" s="90">
        <v>20803220</v>
      </c>
    </row>
    <row r="38" spans="3:24" x14ac:dyDescent="0.2">
      <c r="C38" s="52" t="s">
        <v>232</v>
      </c>
      <c r="D38" s="53">
        <f t="shared" si="0"/>
        <v>57899018</v>
      </c>
      <c r="E38" s="89">
        <v>33682214</v>
      </c>
      <c r="F38" s="90">
        <v>24216804</v>
      </c>
      <c r="G38" s="90">
        <f t="shared" si="1"/>
        <v>57899018</v>
      </c>
      <c r="H38" s="91">
        <v>0</v>
      </c>
      <c r="I38" s="81">
        <v>0</v>
      </c>
      <c r="J38" s="81">
        <v>0</v>
      </c>
      <c r="M38" t="s">
        <v>184</v>
      </c>
      <c r="N38" s="48">
        <v>1581578</v>
      </c>
      <c r="O38" s="86">
        <v>934421</v>
      </c>
      <c r="P38" s="87">
        <v>647157</v>
      </c>
      <c r="R38" t="s">
        <v>284</v>
      </c>
      <c r="S38" s="86">
        <v>54322008</v>
      </c>
      <c r="U38" t="s">
        <v>184</v>
      </c>
      <c r="V38" s="48">
        <v>1581578</v>
      </c>
      <c r="W38" s="86">
        <v>934421</v>
      </c>
      <c r="X38" s="87">
        <v>647157</v>
      </c>
    </row>
    <row r="39" spans="3:24" x14ac:dyDescent="0.2">
      <c r="C39" t="s">
        <v>116</v>
      </c>
      <c r="D39" s="48">
        <f t="shared" si="0"/>
        <v>2945122</v>
      </c>
      <c r="E39" s="86">
        <v>1021997</v>
      </c>
      <c r="F39" s="87">
        <v>1923125</v>
      </c>
      <c r="G39" s="87">
        <f t="shared" si="1"/>
        <v>2945122</v>
      </c>
      <c r="H39" s="88">
        <v>0</v>
      </c>
      <c r="I39" s="79">
        <v>0</v>
      </c>
      <c r="J39" s="79">
        <v>0</v>
      </c>
      <c r="M39" s="52" t="s">
        <v>230</v>
      </c>
      <c r="N39" s="53">
        <v>978981</v>
      </c>
      <c r="O39" s="89">
        <v>440981</v>
      </c>
      <c r="P39" s="90">
        <v>538000</v>
      </c>
      <c r="R39" t="s">
        <v>100</v>
      </c>
      <c r="S39" s="86">
        <v>53618195</v>
      </c>
      <c r="U39" s="52" t="s">
        <v>230</v>
      </c>
      <c r="V39" s="53">
        <v>978981</v>
      </c>
      <c r="W39" s="89">
        <v>440981</v>
      </c>
      <c r="X39" s="90">
        <v>538000</v>
      </c>
    </row>
    <row r="40" spans="3:24" x14ac:dyDescent="0.2">
      <c r="C40" s="52" t="s">
        <v>244</v>
      </c>
      <c r="D40" s="53">
        <f t="shared" si="0"/>
        <v>4345870</v>
      </c>
      <c r="E40" s="89">
        <v>2003500</v>
      </c>
      <c r="F40" s="90">
        <v>2342370</v>
      </c>
      <c r="G40" s="90">
        <f t="shared" si="1"/>
        <v>4345870</v>
      </c>
      <c r="H40" s="91">
        <v>0</v>
      </c>
      <c r="I40" s="81">
        <v>0</v>
      </c>
      <c r="J40" s="81">
        <v>0</v>
      </c>
      <c r="M40" t="s">
        <v>93</v>
      </c>
      <c r="N40" s="48">
        <v>159286801</v>
      </c>
      <c r="O40" s="86">
        <v>90669497</v>
      </c>
      <c r="P40" s="87">
        <v>68617304</v>
      </c>
      <c r="R40" t="s">
        <v>124</v>
      </c>
      <c r="S40" s="86">
        <v>53045757</v>
      </c>
      <c r="U40" t="s">
        <v>93</v>
      </c>
      <c r="V40" s="48">
        <v>159286801</v>
      </c>
      <c r="W40" s="86">
        <v>90669497</v>
      </c>
      <c r="X40" s="87">
        <v>68617304</v>
      </c>
    </row>
    <row r="41" spans="3:24" x14ac:dyDescent="0.2">
      <c r="C41" t="s">
        <v>114</v>
      </c>
      <c r="D41" s="48">
        <f t="shared" si="0"/>
        <v>16653185</v>
      </c>
      <c r="E41" s="86">
        <v>13235224</v>
      </c>
      <c r="F41" s="87">
        <v>3417961</v>
      </c>
      <c r="G41" s="87">
        <f t="shared" si="1"/>
        <v>16653185</v>
      </c>
      <c r="H41" s="88">
        <v>0</v>
      </c>
      <c r="I41" s="79">
        <v>0</v>
      </c>
      <c r="J41" s="79">
        <v>0</v>
      </c>
      <c r="M41" s="52" t="s">
        <v>210</v>
      </c>
      <c r="N41" s="53">
        <v>23855563</v>
      </c>
      <c r="O41" s="89">
        <v>6511490</v>
      </c>
      <c r="P41" s="90">
        <v>17344073</v>
      </c>
      <c r="R41" s="52" t="s">
        <v>181</v>
      </c>
      <c r="S41" s="89">
        <v>50192102</v>
      </c>
      <c r="U41" s="52" t="s">
        <v>210</v>
      </c>
      <c r="V41" s="53">
        <v>23855563</v>
      </c>
      <c r="W41" s="89">
        <v>6511490</v>
      </c>
      <c r="X41" s="90">
        <v>17344073</v>
      </c>
    </row>
    <row r="42" spans="3:24" x14ac:dyDescent="0.2">
      <c r="C42" s="52" t="s">
        <v>56</v>
      </c>
      <c r="D42" s="53">
        <f t="shared" si="0"/>
        <v>4946200692</v>
      </c>
      <c r="E42" s="89">
        <v>3830352577</v>
      </c>
      <c r="F42" s="90">
        <v>1115848115</v>
      </c>
      <c r="G42" s="90">
        <f t="shared" si="1"/>
        <v>4946200692</v>
      </c>
      <c r="H42" s="91">
        <v>0</v>
      </c>
      <c r="I42" s="81">
        <v>0</v>
      </c>
      <c r="J42" s="81">
        <v>0</v>
      </c>
      <c r="M42" t="s">
        <v>190</v>
      </c>
      <c r="N42" s="48">
        <v>47619809.43</v>
      </c>
      <c r="O42" s="86">
        <v>10315632</v>
      </c>
      <c r="P42" s="87">
        <v>19123651</v>
      </c>
      <c r="R42" t="s">
        <v>287</v>
      </c>
      <c r="S42" s="86">
        <v>44422086</v>
      </c>
      <c r="U42" t="s">
        <v>190</v>
      </c>
      <c r="V42" s="48">
        <v>47619809.43</v>
      </c>
      <c r="W42" s="86">
        <v>10315632</v>
      </c>
      <c r="X42" s="87">
        <v>19123651</v>
      </c>
    </row>
    <row r="43" spans="3:24" x14ac:dyDescent="0.2">
      <c r="C43" t="s">
        <v>127</v>
      </c>
      <c r="D43" s="48">
        <f t="shared" si="0"/>
        <v>52655703</v>
      </c>
      <c r="E43" s="86">
        <v>20714252</v>
      </c>
      <c r="F43" s="87">
        <v>31941451</v>
      </c>
      <c r="G43" s="87">
        <f t="shared" si="1"/>
        <v>52655703</v>
      </c>
      <c r="H43" s="88">
        <v>0</v>
      </c>
      <c r="I43" s="79">
        <v>0</v>
      </c>
      <c r="J43" s="79">
        <v>0</v>
      </c>
      <c r="M43" s="52" t="s">
        <v>276</v>
      </c>
      <c r="N43" s="53">
        <v>997709090.15999997</v>
      </c>
      <c r="O43" s="89">
        <v>587430896</v>
      </c>
      <c r="P43" s="90">
        <v>390969470</v>
      </c>
      <c r="R43" t="s">
        <v>183</v>
      </c>
      <c r="S43" s="86">
        <v>42677771</v>
      </c>
      <c r="U43" s="52" t="s">
        <v>276</v>
      </c>
      <c r="V43" s="53">
        <v>997709090.15999997</v>
      </c>
      <c r="W43" s="89">
        <v>587430896</v>
      </c>
      <c r="X43" s="90">
        <v>390969470</v>
      </c>
    </row>
    <row r="44" spans="3:24" x14ac:dyDescent="0.2">
      <c r="C44" s="52" t="s">
        <v>97</v>
      </c>
      <c r="D44" s="53">
        <f t="shared" si="0"/>
        <v>229391486</v>
      </c>
      <c r="E44" s="89">
        <v>156527775</v>
      </c>
      <c r="F44" s="90">
        <v>72863711</v>
      </c>
      <c r="G44" s="90">
        <f t="shared" si="1"/>
        <v>229391486</v>
      </c>
      <c r="H44" s="91">
        <v>0</v>
      </c>
      <c r="I44" s="81">
        <v>0</v>
      </c>
      <c r="J44" s="81">
        <v>0</v>
      </c>
      <c r="M44" t="s">
        <v>191</v>
      </c>
      <c r="N44" s="48">
        <v>550531</v>
      </c>
      <c r="O44" s="86">
        <v>373081</v>
      </c>
      <c r="P44" s="87">
        <v>177450</v>
      </c>
      <c r="R44" s="52" t="s">
        <v>136</v>
      </c>
      <c r="S44" s="89">
        <v>36544355</v>
      </c>
      <c r="U44" t="s">
        <v>191</v>
      </c>
      <c r="V44" s="48">
        <v>550531</v>
      </c>
      <c r="W44" s="86">
        <v>373081</v>
      </c>
      <c r="X44" s="87">
        <v>177450</v>
      </c>
    </row>
    <row r="45" spans="3:24" x14ac:dyDescent="0.2">
      <c r="C45" t="s">
        <v>58</v>
      </c>
      <c r="D45" s="48">
        <f t="shared" si="0"/>
        <v>128523580</v>
      </c>
      <c r="E45" s="86">
        <v>88138672</v>
      </c>
      <c r="F45" s="87">
        <v>40384908</v>
      </c>
      <c r="G45" s="87">
        <f t="shared" si="1"/>
        <v>128523580</v>
      </c>
      <c r="H45" s="88">
        <v>0</v>
      </c>
      <c r="I45" s="79">
        <v>0</v>
      </c>
      <c r="J45" s="79">
        <v>0</v>
      </c>
      <c r="M45" s="52" t="s">
        <v>260</v>
      </c>
      <c r="N45" s="53">
        <v>808984</v>
      </c>
      <c r="O45" s="89">
        <v>394851</v>
      </c>
      <c r="P45" s="90">
        <v>414133</v>
      </c>
      <c r="R45" s="52" t="s">
        <v>314</v>
      </c>
      <c r="S45" s="89">
        <v>30118012</v>
      </c>
      <c r="U45" s="52" t="s">
        <v>260</v>
      </c>
      <c r="V45" s="53">
        <v>808984</v>
      </c>
      <c r="W45" s="89">
        <v>394851</v>
      </c>
      <c r="X45" s="90">
        <v>414133</v>
      </c>
    </row>
    <row r="46" spans="3:24" x14ac:dyDescent="0.2">
      <c r="C46" s="52" t="s">
        <v>218</v>
      </c>
      <c r="D46" s="53">
        <f t="shared" si="0"/>
        <v>11654761</v>
      </c>
      <c r="E46" s="89">
        <v>7999410</v>
      </c>
      <c r="F46" s="90">
        <v>3655351</v>
      </c>
      <c r="G46" s="90">
        <f t="shared" si="1"/>
        <v>11654761</v>
      </c>
      <c r="H46" s="91">
        <v>0</v>
      </c>
      <c r="I46" s="81">
        <v>0</v>
      </c>
      <c r="J46" s="81">
        <v>0</v>
      </c>
      <c r="M46" t="s">
        <v>274</v>
      </c>
      <c r="N46" s="48">
        <v>8126728</v>
      </c>
      <c r="O46" s="86">
        <v>4642794</v>
      </c>
      <c r="P46" s="87">
        <v>3483934</v>
      </c>
      <c r="R46" t="s">
        <v>179</v>
      </c>
      <c r="S46" s="86">
        <v>29407513</v>
      </c>
      <c r="U46" t="s">
        <v>274</v>
      </c>
      <c r="V46" s="48">
        <v>8126728</v>
      </c>
      <c r="W46" s="86">
        <v>4642794</v>
      </c>
      <c r="X46" s="87">
        <v>3483934</v>
      </c>
    </row>
    <row r="47" spans="3:24" x14ac:dyDescent="0.2">
      <c r="C47" t="s">
        <v>289</v>
      </c>
      <c r="D47" s="48">
        <f t="shared" si="0"/>
        <v>311430237</v>
      </c>
      <c r="E47" s="86">
        <v>218682899</v>
      </c>
      <c r="F47" s="87">
        <v>92747338</v>
      </c>
      <c r="G47" s="87">
        <f t="shared" si="1"/>
        <v>311430237</v>
      </c>
      <c r="H47" s="88">
        <v>0</v>
      </c>
      <c r="I47" s="79">
        <v>0</v>
      </c>
      <c r="J47" s="79">
        <v>0</v>
      </c>
      <c r="M47" s="52" t="s">
        <v>278</v>
      </c>
      <c r="N47" s="53">
        <v>346857564</v>
      </c>
      <c r="O47" s="89">
        <v>197141242</v>
      </c>
      <c r="P47" s="90">
        <v>149716322</v>
      </c>
      <c r="R47" t="s">
        <v>232</v>
      </c>
      <c r="S47" s="86">
        <v>24050662</v>
      </c>
      <c r="U47" s="52" t="s">
        <v>278</v>
      </c>
      <c r="V47" s="53">
        <v>346857564</v>
      </c>
      <c r="W47" s="89">
        <v>197141242</v>
      </c>
      <c r="X47" s="90">
        <v>149716322</v>
      </c>
    </row>
    <row r="48" spans="3:24" x14ac:dyDescent="0.2">
      <c r="C48" s="52" t="s">
        <v>124</v>
      </c>
      <c r="D48" s="53">
        <f t="shared" si="0"/>
        <v>107357753</v>
      </c>
      <c r="E48" s="89">
        <v>68921991</v>
      </c>
      <c r="F48" s="90">
        <v>38435762</v>
      </c>
      <c r="G48" s="90">
        <f t="shared" si="1"/>
        <v>107357753</v>
      </c>
      <c r="H48" s="91">
        <v>0</v>
      </c>
      <c r="I48" s="81">
        <v>0</v>
      </c>
      <c r="J48" s="81">
        <v>0</v>
      </c>
      <c r="M48" t="s">
        <v>257</v>
      </c>
      <c r="N48" s="48">
        <v>438211</v>
      </c>
      <c r="O48" s="86">
        <v>342101</v>
      </c>
      <c r="P48" s="87">
        <v>96110</v>
      </c>
      <c r="R48" t="s">
        <v>99</v>
      </c>
      <c r="S48" s="86">
        <v>23231378</v>
      </c>
      <c r="U48" t="s">
        <v>257</v>
      </c>
      <c r="V48" s="48">
        <v>438211</v>
      </c>
      <c r="W48" s="86">
        <v>342101</v>
      </c>
      <c r="X48" s="87">
        <v>96110</v>
      </c>
    </row>
    <row r="49" spans="3:34" x14ac:dyDescent="0.2">
      <c r="C49" t="s">
        <v>59</v>
      </c>
      <c r="D49" s="48">
        <f t="shared" si="0"/>
        <v>371071973</v>
      </c>
      <c r="E49" s="86">
        <v>201833876</v>
      </c>
      <c r="F49" s="87">
        <v>169238097</v>
      </c>
      <c r="G49" s="87">
        <f t="shared" si="1"/>
        <v>371071973</v>
      </c>
      <c r="H49" s="88">
        <v>0</v>
      </c>
      <c r="I49" s="79">
        <v>0</v>
      </c>
      <c r="J49" s="79">
        <v>0</v>
      </c>
      <c r="M49" s="52" t="s">
        <v>181</v>
      </c>
      <c r="N49" s="53">
        <v>113004821</v>
      </c>
      <c r="O49" s="89">
        <v>50192102</v>
      </c>
      <c r="P49" s="90">
        <v>62812719</v>
      </c>
      <c r="R49" t="s">
        <v>186</v>
      </c>
      <c r="S49" s="86">
        <v>21445059</v>
      </c>
      <c r="U49" s="52" t="s">
        <v>181</v>
      </c>
      <c r="V49" s="53">
        <v>113004821</v>
      </c>
      <c r="W49" s="89">
        <v>50192102</v>
      </c>
      <c r="X49" s="90">
        <v>62812719</v>
      </c>
    </row>
    <row r="50" spans="3:34" x14ac:dyDescent="0.2">
      <c r="C50" s="52" t="s">
        <v>186</v>
      </c>
      <c r="D50" s="53">
        <f t="shared" si="0"/>
        <v>102218927</v>
      </c>
      <c r="E50" s="89">
        <v>54112731</v>
      </c>
      <c r="F50" s="90">
        <v>48106196</v>
      </c>
      <c r="G50" s="90">
        <f t="shared" si="1"/>
        <v>102218927</v>
      </c>
      <c r="H50" s="91">
        <v>0</v>
      </c>
      <c r="I50" s="81">
        <v>0</v>
      </c>
      <c r="J50" s="81">
        <v>0</v>
      </c>
      <c r="M50" t="s">
        <v>263</v>
      </c>
      <c r="N50" s="48">
        <v>410013</v>
      </c>
      <c r="O50" s="86">
        <v>115848</v>
      </c>
      <c r="P50" s="87">
        <v>294165</v>
      </c>
      <c r="R50" s="52" t="s">
        <v>311</v>
      </c>
      <c r="S50" s="89">
        <v>19189141</v>
      </c>
      <c r="U50" t="s">
        <v>263</v>
      </c>
      <c r="V50" s="48">
        <v>410013</v>
      </c>
      <c r="W50" s="86">
        <v>115848</v>
      </c>
      <c r="X50" s="87">
        <v>294165</v>
      </c>
    </row>
    <row r="51" spans="3:34" x14ac:dyDescent="0.2">
      <c r="C51" t="s">
        <v>204</v>
      </c>
      <c r="D51" s="48">
        <f t="shared" si="0"/>
        <v>6956788</v>
      </c>
      <c r="E51" s="86">
        <v>4905146</v>
      </c>
      <c r="F51" s="87">
        <v>2051642</v>
      </c>
      <c r="G51" s="87">
        <f t="shared" si="1"/>
        <v>6956788</v>
      </c>
      <c r="H51" s="88">
        <v>0</v>
      </c>
      <c r="I51" s="79">
        <v>0</v>
      </c>
      <c r="J51" s="79">
        <v>0</v>
      </c>
      <c r="M51" s="52" t="s">
        <v>144</v>
      </c>
      <c r="N51" s="53">
        <v>4733482</v>
      </c>
      <c r="O51" s="89">
        <v>3345804</v>
      </c>
      <c r="P51" s="90">
        <v>1387678</v>
      </c>
      <c r="R51" t="s">
        <v>220</v>
      </c>
      <c r="S51" s="86">
        <v>17143781</v>
      </c>
      <c r="U51" s="52" t="s">
        <v>144</v>
      </c>
      <c r="V51" s="53">
        <v>4733482</v>
      </c>
      <c r="W51" s="89">
        <v>3345804</v>
      </c>
      <c r="X51" s="90">
        <v>1387678</v>
      </c>
    </row>
    <row r="52" spans="3:34" x14ac:dyDescent="0.2">
      <c r="C52" s="52" t="s">
        <v>250</v>
      </c>
      <c r="D52" s="53">
        <f t="shared" si="0"/>
        <v>8573417</v>
      </c>
      <c r="E52" s="89">
        <v>5277647</v>
      </c>
      <c r="F52" s="90">
        <v>3295770</v>
      </c>
      <c r="G52" s="90">
        <f t="shared" si="1"/>
        <v>8573417</v>
      </c>
      <c r="H52" s="91">
        <v>0</v>
      </c>
      <c r="I52" s="81">
        <v>0</v>
      </c>
      <c r="J52" s="81">
        <v>0</v>
      </c>
      <c r="M52" t="s">
        <v>292</v>
      </c>
      <c r="N52" s="48">
        <v>14092085</v>
      </c>
      <c r="O52" s="86">
        <v>5705900</v>
      </c>
      <c r="P52" s="87">
        <v>8386185</v>
      </c>
      <c r="R52" t="s">
        <v>175</v>
      </c>
      <c r="S52" s="86">
        <v>16396627</v>
      </c>
      <c r="U52" t="s">
        <v>292</v>
      </c>
      <c r="V52" s="48">
        <v>14092085</v>
      </c>
      <c r="W52" s="86">
        <v>5705900</v>
      </c>
      <c r="X52" s="87">
        <v>8386185</v>
      </c>
    </row>
    <row r="53" spans="3:34" x14ac:dyDescent="0.2">
      <c r="C53" t="s">
        <v>86</v>
      </c>
      <c r="D53" s="48">
        <f t="shared" si="0"/>
        <v>16083157</v>
      </c>
      <c r="E53" s="86">
        <v>9710760</v>
      </c>
      <c r="F53" s="87">
        <v>6372397</v>
      </c>
      <c r="G53" s="87">
        <f t="shared" si="1"/>
        <v>16083157</v>
      </c>
      <c r="H53" s="88">
        <v>0</v>
      </c>
      <c r="I53" s="79">
        <v>0</v>
      </c>
      <c r="J53" s="79">
        <v>0</v>
      </c>
      <c r="M53" s="52" t="s">
        <v>193</v>
      </c>
      <c r="N53" s="53">
        <v>505218706.05000001</v>
      </c>
      <c r="O53" s="89">
        <v>202352989</v>
      </c>
      <c r="P53" s="90">
        <v>181630846</v>
      </c>
      <c r="R53" t="s">
        <v>243</v>
      </c>
      <c r="S53" s="86">
        <v>14814561</v>
      </c>
      <c r="U53" s="52" t="s">
        <v>193</v>
      </c>
      <c r="V53" s="53">
        <v>505218706.05000001</v>
      </c>
      <c r="W53" s="89">
        <v>202352989</v>
      </c>
      <c r="X53" s="90">
        <v>181630846</v>
      </c>
    </row>
    <row r="54" spans="3:34" x14ac:dyDescent="0.2">
      <c r="C54" s="52" t="s">
        <v>99</v>
      </c>
      <c r="D54" s="53">
        <f t="shared" si="0"/>
        <v>80988345</v>
      </c>
      <c r="E54" s="89">
        <v>35912421</v>
      </c>
      <c r="F54" s="90">
        <v>45075924</v>
      </c>
      <c r="G54" s="90">
        <f t="shared" si="1"/>
        <v>80988345</v>
      </c>
      <c r="H54" s="91">
        <v>0</v>
      </c>
      <c r="I54" s="81">
        <v>0</v>
      </c>
      <c r="J54" s="81">
        <v>0</v>
      </c>
      <c r="M54" t="s">
        <v>78</v>
      </c>
      <c r="N54" s="48">
        <v>1805719</v>
      </c>
      <c r="O54" s="86">
        <v>413376</v>
      </c>
      <c r="P54" s="87">
        <v>1392343</v>
      </c>
      <c r="R54" t="s">
        <v>111</v>
      </c>
      <c r="S54" s="86">
        <v>14751890</v>
      </c>
      <c r="U54" t="s">
        <v>78</v>
      </c>
      <c r="V54" s="48">
        <v>1805719</v>
      </c>
      <c r="W54" s="86">
        <v>413376</v>
      </c>
      <c r="X54" s="87">
        <v>1392343</v>
      </c>
    </row>
    <row r="55" spans="3:34" x14ac:dyDescent="0.2">
      <c r="C55" t="s">
        <v>311</v>
      </c>
      <c r="D55" s="48">
        <f t="shared" si="0"/>
        <v>37264963</v>
      </c>
      <c r="E55" s="86">
        <v>27683895</v>
      </c>
      <c r="F55" s="87">
        <v>9581068</v>
      </c>
      <c r="G55" s="87">
        <f t="shared" si="1"/>
        <v>37264963</v>
      </c>
      <c r="H55" s="88">
        <v>0</v>
      </c>
      <c r="I55" s="79">
        <v>0</v>
      </c>
      <c r="J55" s="79">
        <v>0</v>
      </c>
      <c r="M55" s="52" t="s">
        <v>105</v>
      </c>
      <c r="N55" s="53">
        <v>564358</v>
      </c>
      <c r="O55" s="89">
        <v>374593</v>
      </c>
      <c r="P55" s="90">
        <v>189765</v>
      </c>
      <c r="R55" t="s">
        <v>253</v>
      </c>
      <c r="S55" s="86">
        <v>14553874</v>
      </c>
      <c r="U55" s="52" t="s">
        <v>105</v>
      </c>
      <c r="V55" s="53">
        <v>564358</v>
      </c>
      <c r="W55" s="89">
        <v>374593</v>
      </c>
      <c r="X55" s="90">
        <v>189765</v>
      </c>
    </row>
    <row r="56" spans="3:34" x14ac:dyDescent="0.2">
      <c r="C56" s="52" t="s">
        <v>133</v>
      </c>
      <c r="D56" s="53">
        <f t="shared" si="0"/>
        <v>9978588</v>
      </c>
      <c r="E56" s="89">
        <v>2246247</v>
      </c>
      <c r="F56" s="90">
        <v>7732341</v>
      </c>
      <c r="G56" s="90">
        <f t="shared" si="1"/>
        <v>9978588</v>
      </c>
      <c r="H56" s="91">
        <v>0</v>
      </c>
      <c r="I56" s="81">
        <v>0</v>
      </c>
      <c r="J56" s="81">
        <v>0</v>
      </c>
      <c r="M56" t="s">
        <v>103</v>
      </c>
      <c r="N56" s="48">
        <v>9361400</v>
      </c>
      <c r="O56" s="86">
        <v>8275679</v>
      </c>
      <c r="P56" s="87">
        <v>1085721</v>
      </c>
      <c r="R56" s="52" t="s">
        <v>307</v>
      </c>
      <c r="S56" s="89">
        <v>13733547</v>
      </c>
      <c r="U56" t="s">
        <v>103</v>
      </c>
      <c r="V56" s="48">
        <v>9361400</v>
      </c>
      <c r="W56" s="86">
        <v>8275679</v>
      </c>
      <c r="X56" s="87">
        <v>1085721</v>
      </c>
    </row>
    <row r="57" spans="3:34" x14ac:dyDescent="0.2">
      <c r="C57" t="s">
        <v>169</v>
      </c>
      <c r="D57" s="48">
        <f t="shared" si="0"/>
        <v>1244257</v>
      </c>
      <c r="E57" s="86">
        <v>884546</v>
      </c>
      <c r="F57" s="87">
        <v>359711</v>
      </c>
      <c r="G57" s="87">
        <f t="shared" si="1"/>
        <v>1244257</v>
      </c>
      <c r="H57" s="88">
        <v>0</v>
      </c>
      <c r="I57" s="79">
        <v>0</v>
      </c>
      <c r="J57" s="79">
        <v>0</v>
      </c>
      <c r="M57" s="52" t="s">
        <v>199</v>
      </c>
      <c r="N57" s="53">
        <v>12519370.26</v>
      </c>
      <c r="O57" s="89">
        <v>6986453</v>
      </c>
      <c r="P57" s="90">
        <v>4138114</v>
      </c>
      <c r="R57" s="52" t="s">
        <v>127</v>
      </c>
      <c r="S57" s="89">
        <v>13716300</v>
      </c>
      <c r="U57" s="52" t="s">
        <v>199</v>
      </c>
      <c r="V57" s="53">
        <v>12519370.26</v>
      </c>
      <c r="W57" s="89">
        <v>6986453</v>
      </c>
      <c r="X57" s="90">
        <v>4138114</v>
      </c>
    </row>
    <row r="58" spans="3:34" x14ac:dyDescent="0.2">
      <c r="C58" s="52" t="s">
        <v>291</v>
      </c>
      <c r="D58" s="53">
        <f t="shared" si="0"/>
        <v>6142770</v>
      </c>
      <c r="E58" s="89">
        <v>2512675</v>
      </c>
      <c r="F58" s="90">
        <v>3630095</v>
      </c>
      <c r="G58" s="90">
        <f t="shared" si="1"/>
        <v>6142770</v>
      </c>
      <c r="H58" s="91">
        <v>0</v>
      </c>
      <c r="I58" s="81"/>
      <c r="J58" s="81">
        <v>0</v>
      </c>
      <c r="M58" t="s">
        <v>240</v>
      </c>
      <c r="N58" s="48">
        <v>8785993</v>
      </c>
      <c r="O58" s="86">
        <v>4511020</v>
      </c>
      <c r="P58" s="87">
        <v>4274973</v>
      </c>
      <c r="R58" s="52" t="s">
        <v>109</v>
      </c>
      <c r="S58" s="89">
        <v>13528257</v>
      </c>
      <c r="U58" t="s">
        <v>240</v>
      </c>
      <c r="V58" s="48">
        <v>8785993</v>
      </c>
      <c r="W58" s="86">
        <v>4511020</v>
      </c>
      <c r="X58" s="87">
        <v>4274973</v>
      </c>
    </row>
    <row r="59" spans="3:34" ht="13.5" thickBot="1" x14ac:dyDescent="0.25">
      <c r="C59" t="s">
        <v>216</v>
      </c>
      <c r="D59" s="48">
        <f t="shared" si="0"/>
        <v>2272709</v>
      </c>
      <c r="E59" s="86">
        <v>1006557</v>
      </c>
      <c r="F59" s="87">
        <v>1266152</v>
      </c>
      <c r="G59" s="87">
        <f t="shared" si="1"/>
        <v>2272709</v>
      </c>
      <c r="H59" s="88">
        <v>0</v>
      </c>
      <c r="I59" s="79">
        <v>0</v>
      </c>
      <c r="J59" s="79">
        <v>0</v>
      </c>
      <c r="M59" s="70" t="s">
        <v>153</v>
      </c>
      <c r="N59" s="92">
        <v>1291803</v>
      </c>
      <c r="O59" s="93">
        <v>909919</v>
      </c>
      <c r="P59" s="94">
        <v>381884</v>
      </c>
      <c r="R59" s="47" t="s">
        <v>155</v>
      </c>
      <c r="S59" s="242">
        <v>12523241</v>
      </c>
      <c r="U59" s="70" t="s">
        <v>153</v>
      </c>
      <c r="V59" s="92">
        <v>1291803</v>
      </c>
      <c r="W59" s="93">
        <v>909919</v>
      </c>
      <c r="X59" s="94">
        <v>381884</v>
      </c>
    </row>
    <row r="60" spans="3:34" x14ac:dyDescent="0.2">
      <c r="C60" s="494" t="s">
        <v>130</v>
      </c>
      <c r="D60" s="495">
        <f>G60+J60</f>
        <v>5780458</v>
      </c>
      <c r="E60" s="487">
        <v>4551332</v>
      </c>
      <c r="F60" s="488">
        <v>1229126</v>
      </c>
      <c r="G60" s="496">
        <f>SUM(E60:F60)</f>
        <v>5780458</v>
      </c>
      <c r="H60" s="487">
        <v>0</v>
      </c>
      <c r="I60" s="488">
        <v>0</v>
      </c>
      <c r="J60" s="488">
        <v>0</v>
      </c>
      <c r="M60" t="s">
        <v>281</v>
      </c>
      <c r="N60" s="48">
        <v>1957514338</v>
      </c>
      <c r="O60" s="86">
        <v>1302198215</v>
      </c>
      <c r="P60" s="87">
        <v>655316123</v>
      </c>
      <c r="R60" t="s">
        <v>190</v>
      </c>
      <c r="S60" s="86">
        <v>10315632</v>
      </c>
      <c r="U60" t="s">
        <v>281</v>
      </c>
      <c r="V60" s="48">
        <v>1957514338</v>
      </c>
      <c r="W60" s="86">
        <v>1302198215</v>
      </c>
      <c r="X60" s="87">
        <v>655316123</v>
      </c>
      <c r="AA60" s="463" t="s">
        <v>8</v>
      </c>
      <c r="AB60" s="464" t="s">
        <v>521</v>
      </c>
      <c r="AC60" s="465"/>
      <c r="AH60" s="48"/>
    </row>
    <row r="61" spans="3:34" ht="13.5" thickBot="1" x14ac:dyDescent="0.25">
      <c r="C61" s="537" t="s">
        <v>0</v>
      </c>
      <c r="D61" s="538">
        <f>SUM('Table 20 part 1'!D9:D62)+SUM('Table 20 part 2'!D9:D60)</f>
        <v>40303538336.290001</v>
      </c>
      <c r="E61" s="554">
        <f>SUM('Table 20 part 1'!E9:E62)+SUM('Table 20 part 2'!E9:E60)</f>
        <v>30177521740</v>
      </c>
      <c r="F61" s="555">
        <f>SUM('Table 20 part 1'!F9:F62)+SUM('Table 20 part 2'!F9:F60)</f>
        <v>10003153950</v>
      </c>
      <c r="G61" s="556">
        <f>SUM('Table 20 part 1'!G9:G62)+SUM('Table 20 part 2'!G9:G60)</f>
        <v>40180675690</v>
      </c>
      <c r="H61" s="539">
        <f>SUM('Table 20 part 1'!H9:H62)+SUM('Table 20 part 2'!H9:H60)</f>
        <v>100009550</v>
      </c>
      <c r="I61" s="557">
        <f>SUM('Table 20 part 1'!I9:I62)+SUM('Table 20 part 2'!I9:I60)</f>
        <v>22853096.289999999</v>
      </c>
      <c r="J61" s="557">
        <f>SUM('Table 20 part 1'!J9:J62)+SUM('Table 20 part 2'!J9:J60)</f>
        <v>122862646.28999999</v>
      </c>
      <c r="N61" s="48"/>
      <c r="O61" s="86"/>
      <c r="P61" s="87"/>
      <c r="S61" s="86"/>
      <c r="V61" s="48"/>
      <c r="W61" s="86"/>
      <c r="X61" s="87"/>
      <c r="AA61" s="466" t="s">
        <v>520</v>
      </c>
      <c r="AB61" s="452" t="s">
        <v>522</v>
      </c>
      <c r="AC61" s="467"/>
    </row>
    <row r="62" spans="3:34" ht="13.5" thickBot="1" x14ac:dyDescent="0.25">
      <c r="C62" s="75" t="s">
        <v>1</v>
      </c>
      <c r="D62" s="75"/>
      <c r="E62" s="75"/>
      <c r="F62" s="75"/>
      <c r="G62" s="75"/>
      <c r="H62" s="75"/>
      <c r="I62" s="75"/>
      <c r="J62" s="75"/>
      <c r="M62" s="52" t="s">
        <v>299</v>
      </c>
      <c r="N62" s="53">
        <v>181742697</v>
      </c>
      <c r="O62" s="89">
        <v>111040920</v>
      </c>
      <c r="P62" s="90">
        <v>70701777</v>
      </c>
      <c r="R62" s="52" t="s">
        <v>114</v>
      </c>
      <c r="S62" s="89">
        <v>9697492</v>
      </c>
      <c r="U62" s="52" t="s">
        <v>299</v>
      </c>
      <c r="V62" s="53">
        <v>181742697</v>
      </c>
      <c r="W62" s="89">
        <v>111040920</v>
      </c>
      <c r="X62" s="90">
        <v>70701777</v>
      </c>
      <c r="AA62" s="468">
        <f>'table 1 &amp; 2'!B42</f>
        <v>88517562626</v>
      </c>
      <c r="AB62" s="547">
        <f>D61/AA62</f>
        <v>0.45531685623313539</v>
      </c>
      <c r="AC62" s="469"/>
      <c r="AE62" s="470" t="s">
        <v>542</v>
      </c>
      <c r="AF62" s="445"/>
      <c r="AG62" s="445"/>
      <c r="AH62" s="471">
        <f>D61-D13</f>
        <v>39382137504.290001</v>
      </c>
    </row>
    <row r="63" spans="3:34" x14ac:dyDescent="0.2">
      <c r="C63" t="s">
        <v>384</v>
      </c>
      <c r="M63" t="s">
        <v>111</v>
      </c>
      <c r="N63" s="48">
        <v>19862627</v>
      </c>
      <c r="O63" s="86">
        <v>14751890</v>
      </c>
      <c r="P63" s="87">
        <v>5110737</v>
      </c>
      <c r="R63" s="52" t="s">
        <v>166</v>
      </c>
      <c r="S63" s="89">
        <v>9085257</v>
      </c>
      <c r="U63" t="s">
        <v>111</v>
      </c>
      <c r="V63" s="48">
        <v>19862627</v>
      </c>
      <c r="W63" s="86">
        <v>14751890</v>
      </c>
      <c r="X63" s="87">
        <v>5110737</v>
      </c>
    </row>
    <row r="64" spans="3:34" x14ac:dyDescent="0.2">
      <c r="C64" s="609">
        <f>+'Table 20 part 1'!C65:J65+1</f>
        <v>23</v>
      </c>
      <c r="D64" s="609"/>
      <c r="E64" s="609"/>
      <c r="F64" s="609"/>
      <c r="G64" s="609"/>
      <c r="H64" s="609"/>
      <c r="I64" s="609"/>
      <c r="J64" s="609"/>
      <c r="M64" s="52" t="s">
        <v>166</v>
      </c>
      <c r="N64" s="53">
        <v>30614444</v>
      </c>
      <c r="O64" s="89">
        <v>9085257</v>
      </c>
      <c r="P64" s="90">
        <v>21529187</v>
      </c>
      <c r="R64" s="52" t="s">
        <v>206</v>
      </c>
      <c r="S64" s="89">
        <v>8710432</v>
      </c>
      <c r="U64" s="52" t="s">
        <v>166</v>
      </c>
      <c r="V64" s="53">
        <v>30614444</v>
      </c>
      <c r="W64" s="89">
        <v>9085257</v>
      </c>
      <c r="X64" s="90">
        <v>21529187</v>
      </c>
    </row>
    <row r="65" spans="3:28" x14ac:dyDescent="0.2">
      <c r="C65" s="402" t="s">
        <v>552</v>
      </c>
      <c r="D65" s="336"/>
      <c r="E65" s="336"/>
      <c r="F65" s="336"/>
      <c r="G65" s="527"/>
      <c r="H65" s="527"/>
      <c r="I65" s="527"/>
      <c r="J65" s="527"/>
      <c r="K65" s="336"/>
      <c r="L65" s="336"/>
      <c r="M65" s="336" t="s">
        <v>45</v>
      </c>
      <c r="N65" s="528">
        <v>706826890</v>
      </c>
      <c r="O65" s="531">
        <v>613670270</v>
      </c>
      <c r="P65" s="532">
        <v>93156620</v>
      </c>
      <c r="Q65" s="336"/>
      <c r="R65" s="336" t="s">
        <v>103</v>
      </c>
      <c r="S65" s="531">
        <v>8275679</v>
      </c>
      <c r="T65" s="336"/>
      <c r="U65" s="336" t="s">
        <v>45</v>
      </c>
      <c r="V65" s="528">
        <v>706826890</v>
      </c>
      <c r="W65" s="531">
        <v>613670270</v>
      </c>
      <c r="X65" s="532">
        <v>93156620</v>
      </c>
      <c r="Y65" s="336"/>
      <c r="Z65" s="336"/>
      <c r="AA65" s="336"/>
      <c r="AB65" s="336"/>
    </row>
    <row r="66" spans="3:28" x14ac:dyDescent="0.2">
      <c r="D66" s="48"/>
      <c r="F66" s="117" t="s">
        <v>455</v>
      </c>
      <c r="G66" s="117" t="s">
        <v>456</v>
      </c>
      <c r="H66" s="117" t="s">
        <v>457</v>
      </c>
      <c r="I66" s="117" t="s">
        <v>458</v>
      </c>
      <c r="J66" s="117"/>
      <c r="M66" s="52" t="s">
        <v>277</v>
      </c>
      <c r="N66" s="53">
        <v>296905029</v>
      </c>
      <c r="O66" s="89">
        <v>215132265</v>
      </c>
      <c r="P66" s="90">
        <v>81772764</v>
      </c>
      <c r="R66" s="52" t="s">
        <v>203</v>
      </c>
      <c r="S66" s="89">
        <v>7814081</v>
      </c>
      <c r="U66" s="52" t="s">
        <v>277</v>
      </c>
      <c r="V66" s="53">
        <v>296905029</v>
      </c>
      <c r="W66" s="89">
        <v>215132265</v>
      </c>
      <c r="X66" s="90">
        <v>81772764</v>
      </c>
    </row>
    <row r="67" spans="3:28" x14ac:dyDescent="0.2">
      <c r="C67" t="s">
        <v>281</v>
      </c>
      <c r="D67" s="235">
        <f>D9/1000</f>
        <v>2800479.219</v>
      </c>
      <c r="F67" t="str">
        <f>IF($D67&lt;999,$C67,"")</f>
        <v/>
      </c>
      <c r="G67" t="str">
        <f>IF($D67&lt;10999,$C67,"")</f>
        <v/>
      </c>
      <c r="H67" t="str">
        <f>IF($D67&lt;100999,$C67,"")</f>
        <v/>
      </c>
      <c r="I67" t="str">
        <f>IF($D67&gt;100999,$C67,"")</f>
        <v>Las Cruces</v>
      </c>
      <c r="M67" t="s">
        <v>82</v>
      </c>
      <c r="N67" s="48">
        <v>221400886</v>
      </c>
      <c r="O67" s="86">
        <v>194216890</v>
      </c>
      <c r="P67" s="87">
        <v>27183996</v>
      </c>
      <c r="R67" t="s">
        <v>218</v>
      </c>
      <c r="S67" s="86">
        <v>7533398</v>
      </c>
      <c r="U67" t="s">
        <v>82</v>
      </c>
      <c r="V67" s="48">
        <v>221400886</v>
      </c>
      <c r="W67" s="86">
        <v>194216890</v>
      </c>
      <c r="X67" s="87">
        <v>27183996</v>
      </c>
    </row>
    <row r="68" spans="3:28" x14ac:dyDescent="0.2">
      <c r="C68" s="52" t="s">
        <v>299</v>
      </c>
      <c r="D68" s="235">
        <f t="shared" ref="D68:D91" si="2">D10/1000</f>
        <v>237008.33199999999</v>
      </c>
      <c r="F68" t="str">
        <f t="shared" ref="F68:F118" si="3">IF($D68&lt;999,$C68,"")</f>
        <v/>
      </c>
      <c r="G68" t="str">
        <f t="shared" ref="G68:G118" si="4">IF($D68&lt;10999,$C68,"")</f>
        <v/>
      </c>
      <c r="H68" t="str">
        <f t="shared" ref="H68:H113" si="5">IF($D68&lt;100999,$C68,"")</f>
        <v/>
      </c>
      <c r="I68" t="str">
        <f t="shared" ref="I68:I118" si="6">IF($D68&gt;100999,$C68,"")</f>
        <v>Las Vegas</v>
      </c>
      <c r="M68" s="52" t="s">
        <v>309</v>
      </c>
      <c r="N68" s="53">
        <v>5533761</v>
      </c>
      <c r="O68" s="89">
        <v>3831979</v>
      </c>
      <c r="P68" s="90">
        <v>1701782</v>
      </c>
      <c r="R68" s="52" t="s">
        <v>271</v>
      </c>
      <c r="S68" s="89">
        <v>7476509</v>
      </c>
      <c r="U68" s="52" t="s">
        <v>309</v>
      </c>
      <c r="V68" s="53">
        <v>5533761</v>
      </c>
      <c r="W68" s="89">
        <v>3831979</v>
      </c>
      <c r="X68" s="90">
        <v>1701782</v>
      </c>
    </row>
    <row r="69" spans="3:28" x14ac:dyDescent="0.2">
      <c r="C69" t="s">
        <v>111</v>
      </c>
      <c r="D69" s="235">
        <f t="shared" si="2"/>
        <v>41079.923999999999</v>
      </c>
      <c r="F69" t="str">
        <f t="shared" si="3"/>
        <v/>
      </c>
      <c r="G69" t="str">
        <f t="shared" si="4"/>
        <v/>
      </c>
      <c r="H69" t="str">
        <f t="shared" si="5"/>
        <v>Logan</v>
      </c>
      <c r="I69" t="str">
        <f t="shared" si="6"/>
        <v/>
      </c>
      <c r="M69" t="s">
        <v>183</v>
      </c>
      <c r="N69" s="48">
        <v>60542865</v>
      </c>
      <c r="O69" s="86">
        <v>42677771</v>
      </c>
      <c r="P69" s="87">
        <v>17865094</v>
      </c>
      <c r="R69" s="52" t="s">
        <v>188</v>
      </c>
      <c r="S69" s="89">
        <v>7359984</v>
      </c>
      <c r="U69" t="s">
        <v>183</v>
      </c>
      <c r="V69" s="48">
        <v>60542865</v>
      </c>
      <c r="W69" s="86">
        <v>42677771</v>
      </c>
      <c r="X69" s="87">
        <v>17865094</v>
      </c>
    </row>
    <row r="70" spans="3:28" x14ac:dyDescent="0.2">
      <c r="C70" s="52" t="s">
        <v>166</v>
      </c>
      <c r="D70" s="235">
        <f t="shared" si="2"/>
        <v>37434.546999999999</v>
      </c>
      <c r="F70" t="str">
        <f t="shared" si="3"/>
        <v/>
      </c>
      <c r="G70" t="str">
        <f t="shared" si="4"/>
        <v/>
      </c>
      <c r="H70" t="str">
        <f t="shared" si="5"/>
        <v>Lordsburg</v>
      </c>
      <c r="I70" t="str">
        <f t="shared" si="6"/>
        <v/>
      </c>
      <c r="M70" s="52" t="s">
        <v>151</v>
      </c>
      <c r="N70" s="53">
        <v>5244034</v>
      </c>
      <c r="O70" s="89">
        <v>3682966</v>
      </c>
      <c r="P70" s="90">
        <v>1561068</v>
      </c>
      <c r="R70" s="52" t="s">
        <v>86</v>
      </c>
      <c r="S70" s="89">
        <v>7178416</v>
      </c>
      <c r="U70" s="52" t="s">
        <v>151</v>
      </c>
      <c r="V70" s="53">
        <v>5244034</v>
      </c>
      <c r="W70" s="89">
        <v>3682966</v>
      </c>
      <c r="X70" s="90">
        <v>1561068</v>
      </c>
    </row>
    <row r="71" spans="3:28" x14ac:dyDescent="0.2">
      <c r="C71" t="s">
        <v>45</v>
      </c>
      <c r="D71" s="235">
        <f t="shared" si="2"/>
        <v>921400.83200000005</v>
      </c>
      <c r="F71" t="str">
        <f t="shared" si="3"/>
        <v/>
      </c>
      <c r="G71" t="str">
        <f t="shared" si="4"/>
        <v/>
      </c>
      <c r="H71" t="str">
        <f t="shared" si="5"/>
        <v/>
      </c>
      <c r="I71" t="str">
        <f t="shared" si="6"/>
        <v>Los Alamos</v>
      </c>
      <c r="M71" t="s">
        <v>221</v>
      </c>
      <c r="N71" s="48">
        <v>2112630</v>
      </c>
      <c r="O71" s="86">
        <v>1538852</v>
      </c>
      <c r="P71" s="87">
        <v>573778</v>
      </c>
      <c r="R71" s="52" t="s">
        <v>199</v>
      </c>
      <c r="S71" s="89">
        <v>6986453</v>
      </c>
      <c r="U71" t="s">
        <v>221</v>
      </c>
      <c r="V71" s="48">
        <v>2112630</v>
      </c>
      <c r="W71" s="86">
        <v>1538852</v>
      </c>
      <c r="X71" s="87">
        <v>573778</v>
      </c>
    </row>
    <row r="72" spans="3:28" x14ac:dyDescent="0.2">
      <c r="C72" s="52" t="s">
        <v>277</v>
      </c>
      <c r="D72" s="235">
        <f t="shared" si="2"/>
        <v>488345.95600000001</v>
      </c>
      <c r="F72" t="str">
        <f t="shared" si="3"/>
        <v/>
      </c>
      <c r="G72" t="str">
        <f t="shared" si="4"/>
        <v/>
      </c>
      <c r="H72" t="str">
        <f t="shared" si="5"/>
        <v/>
      </c>
      <c r="I72" t="str">
        <f t="shared" si="6"/>
        <v>Los Lunas</v>
      </c>
      <c r="M72" s="52" t="s">
        <v>254</v>
      </c>
      <c r="N72" s="53">
        <v>5213226</v>
      </c>
      <c r="O72" s="89">
        <v>3143396</v>
      </c>
      <c r="P72" s="90">
        <v>2069830</v>
      </c>
      <c r="R72" s="52" t="s">
        <v>210</v>
      </c>
      <c r="S72" s="89">
        <v>6511490</v>
      </c>
      <c r="U72" s="52" t="s">
        <v>254</v>
      </c>
      <c r="V72" s="53">
        <v>5213226</v>
      </c>
      <c r="W72" s="89">
        <v>3143396</v>
      </c>
      <c r="X72" s="90">
        <v>2069830</v>
      </c>
    </row>
    <row r="73" spans="3:28" x14ac:dyDescent="0.2">
      <c r="C73" t="s">
        <v>82</v>
      </c>
      <c r="D73" s="235">
        <f t="shared" si="2"/>
        <v>314594.39899999998</v>
      </c>
      <c r="F73" t="str">
        <f t="shared" si="3"/>
        <v/>
      </c>
      <c r="G73" t="str">
        <f t="shared" si="4"/>
        <v/>
      </c>
      <c r="H73" t="str">
        <f t="shared" si="5"/>
        <v/>
      </c>
      <c r="I73" t="str">
        <f t="shared" si="6"/>
        <v>Los Ranchos</v>
      </c>
      <c r="M73" t="s">
        <v>284</v>
      </c>
      <c r="N73" s="48">
        <v>69565481</v>
      </c>
      <c r="O73" s="86">
        <v>54322008</v>
      </c>
      <c r="P73" s="87">
        <v>15243473</v>
      </c>
      <c r="R73" t="s">
        <v>235</v>
      </c>
      <c r="S73" s="86">
        <v>6200644</v>
      </c>
      <c r="U73" t="s">
        <v>284</v>
      </c>
      <c r="V73" s="48">
        <v>69565481</v>
      </c>
      <c r="W73" s="86">
        <v>54322008</v>
      </c>
      <c r="X73" s="87">
        <v>15243473</v>
      </c>
    </row>
    <row r="74" spans="3:28" x14ac:dyDescent="0.2">
      <c r="C74" s="52" t="s">
        <v>309</v>
      </c>
      <c r="D74" s="235">
        <f t="shared" si="2"/>
        <v>18244.599999999999</v>
      </c>
      <c r="F74" t="str">
        <f t="shared" si="3"/>
        <v/>
      </c>
      <c r="G74" t="str">
        <f t="shared" si="4"/>
        <v/>
      </c>
      <c r="H74" t="str">
        <f t="shared" si="5"/>
        <v>Loving</v>
      </c>
      <c r="I74" t="str">
        <f t="shared" si="6"/>
        <v/>
      </c>
      <c r="M74" s="52" t="s">
        <v>188</v>
      </c>
      <c r="N74" s="53">
        <v>35786434</v>
      </c>
      <c r="O74" s="89">
        <v>7359984</v>
      </c>
      <c r="P74" s="90">
        <v>28426450</v>
      </c>
      <c r="R74" t="s">
        <v>292</v>
      </c>
      <c r="S74" s="86">
        <v>5705900</v>
      </c>
      <c r="U74" s="52" t="s">
        <v>188</v>
      </c>
      <c r="V74" s="53">
        <v>35786434</v>
      </c>
      <c r="W74" s="89">
        <v>7359984</v>
      </c>
      <c r="X74" s="90">
        <v>28426450</v>
      </c>
    </row>
    <row r="75" spans="3:28" x14ac:dyDescent="0.2">
      <c r="C75" t="s">
        <v>183</v>
      </c>
      <c r="D75" s="235">
        <f t="shared" si="2"/>
        <v>120933.194</v>
      </c>
      <c r="F75" t="str">
        <f t="shared" si="3"/>
        <v/>
      </c>
      <c r="G75" t="str">
        <f t="shared" si="4"/>
        <v/>
      </c>
      <c r="H75" t="str">
        <f t="shared" si="5"/>
        <v/>
      </c>
      <c r="I75" t="str">
        <f t="shared" si="6"/>
        <v>Lovington</v>
      </c>
      <c r="M75" t="s">
        <v>220</v>
      </c>
      <c r="N75" s="48">
        <v>43862768</v>
      </c>
      <c r="O75" s="86">
        <v>17143781</v>
      </c>
      <c r="P75" s="87">
        <v>26718987</v>
      </c>
      <c r="R75" t="s">
        <v>225</v>
      </c>
      <c r="S75" s="86">
        <v>5695872</v>
      </c>
      <c r="U75" t="s">
        <v>220</v>
      </c>
      <c r="V75" s="48">
        <v>43862768</v>
      </c>
      <c r="W75" s="86">
        <v>17143781</v>
      </c>
      <c r="X75" s="87">
        <v>26718987</v>
      </c>
    </row>
    <row r="76" spans="3:28" x14ac:dyDescent="0.2">
      <c r="C76" s="52" t="s">
        <v>151</v>
      </c>
      <c r="D76" s="235">
        <f t="shared" si="2"/>
        <v>8101.6059999999998</v>
      </c>
      <c r="F76" t="str">
        <f t="shared" si="3"/>
        <v/>
      </c>
      <c r="G76" t="str">
        <f t="shared" si="4"/>
        <v>Magdalena</v>
      </c>
      <c r="I76" t="str">
        <f t="shared" si="6"/>
        <v/>
      </c>
      <c r="M76" s="52" t="s">
        <v>146</v>
      </c>
      <c r="N76" s="53">
        <v>679629</v>
      </c>
      <c r="O76" s="89">
        <v>418869</v>
      </c>
      <c r="P76" s="90">
        <v>260760</v>
      </c>
      <c r="R76" s="52" t="s">
        <v>148</v>
      </c>
      <c r="S76" s="89">
        <v>5395980</v>
      </c>
      <c r="U76" s="52" t="s">
        <v>146</v>
      </c>
      <c r="V76" s="53">
        <v>679629</v>
      </c>
      <c r="W76" s="89">
        <v>418869</v>
      </c>
      <c r="X76" s="90">
        <v>260760</v>
      </c>
    </row>
    <row r="77" spans="3:28" x14ac:dyDescent="0.2">
      <c r="C77" t="s">
        <v>221</v>
      </c>
      <c r="D77" s="235">
        <f t="shared" si="2"/>
        <v>2654.3719999999998</v>
      </c>
      <c r="F77" t="str">
        <f t="shared" si="3"/>
        <v/>
      </c>
      <c r="G77" t="str">
        <f t="shared" si="4"/>
        <v>Maxwell</v>
      </c>
      <c r="I77" t="str">
        <f t="shared" si="6"/>
        <v/>
      </c>
      <c r="M77" t="s">
        <v>225</v>
      </c>
      <c r="N77" s="48">
        <v>9456726</v>
      </c>
      <c r="O77" s="86">
        <v>5695872</v>
      </c>
      <c r="P77" s="87">
        <v>3760854</v>
      </c>
      <c r="R77" t="s">
        <v>274</v>
      </c>
      <c r="S77" s="86">
        <v>4642794</v>
      </c>
      <c r="U77" t="s">
        <v>225</v>
      </c>
      <c r="V77" s="48">
        <v>9456726</v>
      </c>
      <c r="W77" s="86">
        <v>5695872</v>
      </c>
      <c r="X77" s="87">
        <v>3760854</v>
      </c>
    </row>
    <row r="78" spans="3:28" x14ac:dyDescent="0.2">
      <c r="C78" s="52" t="s">
        <v>254</v>
      </c>
      <c r="D78" s="235">
        <f t="shared" si="2"/>
        <v>8523.5830000000005</v>
      </c>
      <c r="F78" t="str">
        <f t="shared" si="3"/>
        <v/>
      </c>
      <c r="G78" t="str">
        <f t="shared" si="4"/>
        <v>Melrose</v>
      </c>
      <c r="I78" t="str">
        <f t="shared" si="6"/>
        <v/>
      </c>
      <c r="M78" s="52" t="s">
        <v>307</v>
      </c>
      <c r="N78" s="53">
        <v>17191989</v>
      </c>
      <c r="O78" s="89">
        <v>13733547</v>
      </c>
      <c r="P78" s="90">
        <v>3458442</v>
      </c>
      <c r="R78" t="s">
        <v>240</v>
      </c>
      <c r="S78" s="86">
        <v>4511020</v>
      </c>
      <c r="U78" s="52" t="s">
        <v>307</v>
      </c>
      <c r="V78" s="53">
        <v>17191989</v>
      </c>
      <c r="W78" s="89">
        <v>13733547</v>
      </c>
      <c r="X78" s="90">
        <v>3458442</v>
      </c>
    </row>
    <row r="79" spans="3:28" x14ac:dyDescent="0.2">
      <c r="C79" t="s">
        <v>284</v>
      </c>
      <c r="D79" s="235">
        <f t="shared" si="2"/>
        <v>76541.187000000005</v>
      </c>
      <c r="F79" t="str">
        <f t="shared" si="3"/>
        <v/>
      </c>
      <c r="G79" t="str">
        <f t="shared" si="4"/>
        <v/>
      </c>
      <c r="H79" t="str">
        <f t="shared" si="5"/>
        <v>Mesilla</v>
      </c>
      <c r="I79" t="str">
        <f t="shared" si="6"/>
        <v/>
      </c>
      <c r="M79" t="s">
        <v>287</v>
      </c>
      <c r="N79" s="48">
        <v>50385401</v>
      </c>
      <c r="O79" s="86">
        <v>44422086</v>
      </c>
      <c r="P79" s="87">
        <v>5963315</v>
      </c>
      <c r="R79" s="52" t="s">
        <v>309</v>
      </c>
      <c r="S79" s="89">
        <v>3831979</v>
      </c>
      <c r="U79" t="s">
        <v>287</v>
      </c>
      <c r="V79" s="48">
        <v>50385401</v>
      </c>
      <c r="W79" s="86">
        <v>44422086</v>
      </c>
      <c r="X79" s="87">
        <v>5963315</v>
      </c>
    </row>
    <row r="80" spans="3:28" x14ac:dyDescent="0.2">
      <c r="C80" s="52" t="s">
        <v>188</v>
      </c>
      <c r="D80" s="235">
        <f t="shared" si="2"/>
        <v>48744.777000000002</v>
      </c>
      <c r="F80" t="str">
        <f t="shared" si="3"/>
        <v/>
      </c>
      <c r="G80" t="str">
        <f t="shared" si="4"/>
        <v/>
      </c>
      <c r="H80" t="str">
        <f t="shared" si="5"/>
        <v>Milan</v>
      </c>
      <c r="I80" t="str">
        <f t="shared" si="6"/>
        <v/>
      </c>
      <c r="M80" s="52" t="s">
        <v>178</v>
      </c>
      <c r="N80" s="53">
        <v>103953582</v>
      </c>
      <c r="O80" s="89">
        <v>72046202</v>
      </c>
      <c r="P80" s="90">
        <v>31907380</v>
      </c>
      <c r="R80" s="52" t="s">
        <v>151</v>
      </c>
      <c r="S80" s="89">
        <v>3682966</v>
      </c>
      <c r="U80" s="52" t="s">
        <v>178</v>
      </c>
      <c r="V80" s="53">
        <v>103953582</v>
      </c>
      <c r="W80" s="89">
        <v>72046202</v>
      </c>
      <c r="X80" s="90">
        <v>31907380</v>
      </c>
    </row>
    <row r="81" spans="3:24" x14ac:dyDescent="0.2">
      <c r="C81" t="s">
        <v>220</v>
      </c>
      <c r="D81" s="235">
        <f t="shared" si="2"/>
        <v>53408.108999999997</v>
      </c>
      <c r="F81" t="str">
        <f t="shared" si="3"/>
        <v/>
      </c>
      <c r="G81" t="str">
        <f t="shared" si="4"/>
        <v/>
      </c>
      <c r="H81" t="str">
        <f t="shared" si="5"/>
        <v>Moriarty</v>
      </c>
      <c r="I81" t="str">
        <f t="shared" si="6"/>
        <v/>
      </c>
      <c r="M81" t="s">
        <v>175</v>
      </c>
      <c r="N81" s="48">
        <v>22862913</v>
      </c>
      <c r="O81" s="86">
        <v>16396627</v>
      </c>
      <c r="P81" s="87">
        <v>6466286</v>
      </c>
      <c r="R81" t="s">
        <v>130</v>
      </c>
      <c r="S81" s="86">
        <v>3644684</v>
      </c>
      <c r="U81" t="s">
        <v>175</v>
      </c>
      <c r="V81" s="48">
        <v>22862913</v>
      </c>
      <c r="W81" s="86">
        <v>16396627</v>
      </c>
      <c r="X81" s="87">
        <v>6466286</v>
      </c>
    </row>
    <row r="82" spans="3:24" x14ac:dyDescent="0.2">
      <c r="C82" s="52" t="s">
        <v>146</v>
      </c>
      <c r="D82" s="235">
        <f t="shared" si="2"/>
        <v>1258.711</v>
      </c>
      <c r="F82" t="str">
        <f t="shared" si="3"/>
        <v/>
      </c>
      <c r="G82" t="str">
        <f t="shared" si="4"/>
        <v>Mosquero</v>
      </c>
      <c r="I82" t="str">
        <f t="shared" si="6"/>
        <v/>
      </c>
      <c r="M82" s="52" t="s">
        <v>212</v>
      </c>
      <c r="N82" s="53">
        <v>90678375</v>
      </c>
      <c r="O82" s="89">
        <v>56750303</v>
      </c>
      <c r="P82" s="90">
        <v>33928072</v>
      </c>
      <c r="R82" t="s">
        <v>250</v>
      </c>
      <c r="S82" s="86">
        <v>3535067</v>
      </c>
      <c r="U82" s="52" t="s">
        <v>212</v>
      </c>
      <c r="V82" s="53">
        <v>90678375</v>
      </c>
      <c r="W82" s="89">
        <v>56750303</v>
      </c>
      <c r="X82" s="90">
        <v>33928072</v>
      </c>
    </row>
    <row r="83" spans="3:24" x14ac:dyDescent="0.2">
      <c r="C83" t="s">
        <v>225</v>
      </c>
      <c r="D83" s="235">
        <f t="shared" si="2"/>
        <v>10903.058000000001</v>
      </c>
      <c r="F83" t="str">
        <f t="shared" si="3"/>
        <v/>
      </c>
      <c r="G83" t="str">
        <f t="shared" si="4"/>
        <v>Mountainair</v>
      </c>
      <c r="I83" t="str">
        <f t="shared" si="6"/>
        <v/>
      </c>
      <c r="M83" t="s">
        <v>179</v>
      </c>
      <c r="N83" s="48">
        <v>47821768</v>
      </c>
      <c r="O83" s="86">
        <v>29407513</v>
      </c>
      <c r="P83" s="87">
        <v>18414255</v>
      </c>
      <c r="R83" s="52" t="s">
        <v>144</v>
      </c>
      <c r="S83" s="89">
        <v>3345804</v>
      </c>
      <c r="U83" t="s">
        <v>179</v>
      </c>
      <c r="V83" s="48">
        <v>47821768</v>
      </c>
      <c r="W83" s="86">
        <v>29407513</v>
      </c>
      <c r="X83" s="87">
        <v>18414255</v>
      </c>
    </row>
    <row r="84" spans="3:24" x14ac:dyDescent="0.2">
      <c r="C84" s="52" t="s">
        <v>307</v>
      </c>
      <c r="D84" s="235">
        <f t="shared" si="2"/>
        <v>25670.79</v>
      </c>
      <c r="F84" t="str">
        <f t="shared" si="3"/>
        <v/>
      </c>
      <c r="G84" t="str">
        <f t="shared" si="4"/>
        <v/>
      </c>
      <c r="H84" t="str">
        <f t="shared" si="5"/>
        <v>Pecos</v>
      </c>
      <c r="I84" t="str">
        <f t="shared" si="6"/>
        <v/>
      </c>
      <c r="M84" s="52" t="s">
        <v>118</v>
      </c>
      <c r="N84" s="53">
        <v>5643054</v>
      </c>
      <c r="O84" s="89">
        <v>2372566</v>
      </c>
      <c r="P84" s="90">
        <v>3270488</v>
      </c>
      <c r="R84" s="52" t="s">
        <v>254</v>
      </c>
      <c r="S84" s="89">
        <v>3143396</v>
      </c>
      <c r="U84" s="52" t="s">
        <v>118</v>
      </c>
      <c r="V84" s="53">
        <v>5643054</v>
      </c>
      <c r="W84" s="89">
        <v>2372566</v>
      </c>
      <c r="X84" s="90">
        <v>3270488</v>
      </c>
    </row>
    <row r="85" spans="3:24" x14ac:dyDescent="0.2">
      <c r="C85" t="s">
        <v>287</v>
      </c>
      <c r="D85" s="235">
        <f t="shared" si="2"/>
        <v>71795.942999999999</v>
      </c>
      <c r="F85" t="str">
        <f t="shared" si="3"/>
        <v/>
      </c>
      <c r="G85" t="str">
        <f t="shared" si="4"/>
        <v/>
      </c>
      <c r="H85" t="str">
        <f t="shared" si="5"/>
        <v>Peralta</v>
      </c>
      <c r="I85" t="str">
        <f t="shared" si="6"/>
        <v/>
      </c>
      <c r="M85" t="s">
        <v>95</v>
      </c>
      <c r="N85" s="48">
        <v>2168284909</v>
      </c>
      <c r="O85" s="86">
        <v>1626691648</v>
      </c>
      <c r="P85" s="87">
        <v>541593261</v>
      </c>
      <c r="R85" t="s">
        <v>236</v>
      </c>
      <c r="S85" s="86">
        <v>2722635</v>
      </c>
      <c r="U85" t="s">
        <v>95</v>
      </c>
      <c r="V85" s="48">
        <v>2168284909</v>
      </c>
      <c r="W85" s="86">
        <v>1626691648</v>
      </c>
      <c r="X85" s="87">
        <v>541593261</v>
      </c>
    </row>
    <row r="86" spans="3:24" x14ac:dyDescent="0.2">
      <c r="C86" s="52" t="s">
        <v>178</v>
      </c>
      <c r="D86" s="235">
        <f t="shared" si="2"/>
        <v>184496.79699999999</v>
      </c>
      <c r="F86" t="str">
        <f t="shared" si="3"/>
        <v/>
      </c>
      <c r="G86" t="str">
        <f t="shared" si="4"/>
        <v/>
      </c>
      <c r="H86" t="str">
        <f t="shared" si="5"/>
        <v/>
      </c>
      <c r="I86" t="str">
        <f t="shared" si="6"/>
        <v>Portales</v>
      </c>
      <c r="M86" s="52" t="s">
        <v>138</v>
      </c>
      <c r="N86" s="53">
        <v>584662171</v>
      </c>
      <c r="O86" s="89">
        <v>370383355</v>
      </c>
      <c r="P86" s="90">
        <v>214278816</v>
      </c>
      <c r="R86" s="52" t="s">
        <v>204</v>
      </c>
      <c r="S86" s="89">
        <v>2664009</v>
      </c>
      <c r="U86" s="52" t="s">
        <v>138</v>
      </c>
      <c r="V86" s="53">
        <v>584662171</v>
      </c>
      <c r="W86" s="89">
        <v>370383355</v>
      </c>
      <c r="X86" s="90">
        <v>214278816</v>
      </c>
    </row>
    <row r="87" spans="3:24" x14ac:dyDescent="0.2">
      <c r="C87" t="s">
        <v>175</v>
      </c>
      <c r="D87" s="235">
        <f t="shared" si="2"/>
        <v>47190.122000000003</v>
      </c>
      <c r="F87" t="str">
        <f t="shared" si="3"/>
        <v/>
      </c>
      <c r="G87" t="str">
        <f t="shared" si="4"/>
        <v/>
      </c>
      <c r="H87" t="str">
        <f t="shared" si="5"/>
        <v>Questa</v>
      </c>
      <c r="I87" t="str">
        <f t="shared" si="6"/>
        <v/>
      </c>
      <c r="M87" t="s">
        <v>140</v>
      </c>
      <c r="N87" s="48">
        <v>1608950</v>
      </c>
      <c r="O87" s="86">
        <v>1033822</v>
      </c>
      <c r="P87" s="87">
        <v>575128</v>
      </c>
      <c r="R87" s="52" t="s">
        <v>118</v>
      </c>
      <c r="S87" s="89">
        <v>2372566</v>
      </c>
      <c r="U87" t="s">
        <v>140</v>
      </c>
      <c r="V87" s="48">
        <v>1608950</v>
      </c>
      <c r="W87" s="86">
        <v>1033822</v>
      </c>
      <c r="X87" s="87">
        <v>575128</v>
      </c>
    </row>
    <row r="88" spans="3:24" x14ac:dyDescent="0.2">
      <c r="C88" s="52" t="s">
        <v>212</v>
      </c>
      <c r="D88" s="235">
        <f t="shared" si="2"/>
        <v>99691.058999999994</v>
      </c>
      <c r="F88" t="str">
        <f t="shared" si="3"/>
        <v/>
      </c>
      <c r="G88" t="str">
        <f t="shared" si="4"/>
        <v/>
      </c>
      <c r="H88" t="str">
        <f t="shared" si="5"/>
        <v>Raton</v>
      </c>
      <c r="I88" t="str">
        <f t="shared" si="6"/>
        <v/>
      </c>
      <c r="M88" s="52" t="s">
        <v>228</v>
      </c>
      <c r="N88" s="53">
        <v>446024502</v>
      </c>
      <c r="O88" s="89">
        <v>340357853</v>
      </c>
      <c r="P88" s="90">
        <v>105666649</v>
      </c>
      <c r="R88" t="s">
        <v>133</v>
      </c>
      <c r="S88" s="86">
        <v>2163370</v>
      </c>
      <c r="U88" s="52" t="s">
        <v>228</v>
      </c>
      <c r="V88" s="53">
        <v>446024502</v>
      </c>
      <c r="W88" s="89">
        <v>340357853</v>
      </c>
      <c r="X88" s="90">
        <v>105666649</v>
      </c>
    </row>
    <row r="89" spans="3:24" x14ac:dyDescent="0.2">
      <c r="C89" t="s">
        <v>179</v>
      </c>
      <c r="D89" s="235">
        <f t="shared" si="2"/>
        <v>66663.034</v>
      </c>
      <c r="F89" t="str">
        <f t="shared" si="3"/>
        <v/>
      </c>
      <c r="G89" t="str">
        <f t="shared" si="4"/>
        <v/>
      </c>
      <c r="H89" t="str">
        <f t="shared" si="5"/>
        <v>Red River</v>
      </c>
      <c r="I89" t="str">
        <f t="shared" si="6"/>
        <v/>
      </c>
      <c r="M89" t="s">
        <v>232</v>
      </c>
      <c r="N89" s="48">
        <v>46071339</v>
      </c>
      <c r="O89" s="86">
        <v>24050662</v>
      </c>
      <c r="P89" s="87">
        <v>22020677</v>
      </c>
      <c r="R89" t="s">
        <v>291</v>
      </c>
      <c r="S89" s="86">
        <v>2070765</v>
      </c>
      <c r="U89" t="s">
        <v>232</v>
      </c>
      <c r="V89" s="48">
        <v>46071339</v>
      </c>
      <c r="W89" s="86">
        <v>24050662</v>
      </c>
      <c r="X89" s="87">
        <v>22020677</v>
      </c>
    </row>
    <row r="90" spans="3:24" x14ac:dyDescent="0.2">
      <c r="C90" s="52" t="s">
        <v>118</v>
      </c>
      <c r="D90" s="235">
        <f t="shared" si="2"/>
        <v>7175.2280000000001</v>
      </c>
      <c r="F90" t="str">
        <f t="shared" si="3"/>
        <v/>
      </c>
      <c r="G90" t="str">
        <f t="shared" si="4"/>
        <v>Reserve</v>
      </c>
      <c r="I90" t="str">
        <f t="shared" si="6"/>
        <v/>
      </c>
      <c r="M90" s="52" t="s">
        <v>116</v>
      </c>
      <c r="N90" s="53">
        <v>1512673</v>
      </c>
      <c r="O90" s="89">
        <v>726081</v>
      </c>
      <c r="P90" s="90">
        <v>786592</v>
      </c>
      <c r="R90" t="s">
        <v>244</v>
      </c>
      <c r="S90" s="86">
        <v>1580105</v>
      </c>
      <c r="U90" s="52" t="s">
        <v>116</v>
      </c>
      <c r="V90" s="53">
        <v>1512673</v>
      </c>
      <c r="W90" s="89">
        <v>726081</v>
      </c>
      <c r="X90" s="90">
        <v>786592</v>
      </c>
    </row>
    <row r="91" spans="3:24" x14ac:dyDescent="0.2">
      <c r="C91" s="347" t="s">
        <v>465</v>
      </c>
      <c r="D91" s="235">
        <f t="shared" si="2"/>
        <v>95398.94</v>
      </c>
      <c r="F91" t="str">
        <f t="shared" si="3"/>
        <v/>
      </c>
      <c r="G91" t="str">
        <f t="shared" si="4"/>
        <v/>
      </c>
      <c r="H91" t="str">
        <f t="shared" si="5"/>
        <v>Rio Communities</v>
      </c>
      <c r="I91" t="str">
        <f t="shared" si="6"/>
        <v/>
      </c>
      <c r="M91" t="s">
        <v>244</v>
      </c>
      <c r="N91" s="48">
        <v>2760064</v>
      </c>
      <c r="O91" s="86">
        <v>1580105</v>
      </c>
      <c r="P91" s="87">
        <v>1179959</v>
      </c>
      <c r="R91" t="s">
        <v>221</v>
      </c>
      <c r="S91" s="86">
        <v>1538852</v>
      </c>
      <c r="U91" t="s">
        <v>244</v>
      </c>
      <c r="V91" s="48">
        <v>2760064</v>
      </c>
      <c r="W91" s="86">
        <v>1580105</v>
      </c>
      <c r="X91" s="87">
        <v>1179959</v>
      </c>
    </row>
    <row r="92" spans="3:24" x14ac:dyDescent="0.2">
      <c r="C92" t="s">
        <v>95</v>
      </c>
      <c r="D92" s="235">
        <f>D34/1000</f>
        <v>2863874.3539999998</v>
      </c>
      <c r="F92" t="str">
        <f t="shared" si="3"/>
        <v/>
      </c>
      <c r="G92" t="str">
        <f t="shared" si="4"/>
        <v/>
      </c>
      <c r="H92" t="str">
        <f t="shared" si="5"/>
        <v/>
      </c>
      <c r="I92" t="str">
        <f t="shared" si="6"/>
        <v>Rio Rancho</v>
      </c>
      <c r="M92" s="52" t="s">
        <v>114</v>
      </c>
      <c r="N92" s="53">
        <v>12030229</v>
      </c>
      <c r="O92" s="89">
        <v>9697492</v>
      </c>
      <c r="P92" s="90">
        <v>2332737</v>
      </c>
      <c r="R92" t="s">
        <v>239</v>
      </c>
      <c r="S92" s="86">
        <v>1157016</v>
      </c>
      <c r="U92" s="52" t="s">
        <v>114</v>
      </c>
      <c r="V92" s="53">
        <v>12030229</v>
      </c>
      <c r="W92" s="89">
        <v>9697492</v>
      </c>
      <c r="X92" s="90">
        <v>2332737</v>
      </c>
    </row>
    <row r="93" spans="3:24" x14ac:dyDescent="0.2">
      <c r="C93" s="52" t="s">
        <v>138</v>
      </c>
      <c r="D93" s="235">
        <f t="shared" ref="D93:D118" si="7">D35/1000</f>
        <v>823832.83100000001</v>
      </c>
      <c r="F93" t="str">
        <f t="shared" si="3"/>
        <v/>
      </c>
      <c r="G93" t="str">
        <f t="shared" si="4"/>
        <v/>
      </c>
      <c r="H93" t="str">
        <f t="shared" si="5"/>
        <v/>
      </c>
      <c r="I93" t="str">
        <f t="shared" si="6"/>
        <v>Roswell</v>
      </c>
      <c r="M93" t="s">
        <v>56</v>
      </c>
      <c r="N93" s="48">
        <v>3500660629</v>
      </c>
      <c r="O93" s="86">
        <v>2534474103</v>
      </c>
      <c r="P93" s="87">
        <v>966186526</v>
      </c>
      <c r="R93" t="s">
        <v>140</v>
      </c>
      <c r="S93" s="86">
        <v>1033822</v>
      </c>
      <c r="U93" t="s">
        <v>56</v>
      </c>
      <c r="V93" s="48">
        <v>3500660629</v>
      </c>
      <c r="W93" s="86">
        <v>2534474103</v>
      </c>
      <c r="X93" s="87">
        <v>966186526</v>
      </c>
    </row>
    <row r="94" spans="3:24" x14ac:dyDescent="0.2">
      <c r="C94" t="s">
        <v>140</v>
      </c>
      <c r="D94" s="235">
        <f t="shared" si="7"/>
        <v>2562.6750000000002</v>
      </c>
      <c r="F94" t="str">
        <f t="shared" si="3"/>
        <v/>
      </c>
      <c r="G94" t="str">
        <f t="shared" si="4"/>
        <v>Roy</v>
      </c>
      <c r="I94" t="str">
        <f t="shared" si="6"/>
        <v/>
      </c>
      <c r="M94" s="52" t="s">
        <v>127</v>
      </c>
      <c r="N94" s="53">
        <v>43211516</v>
      </c>
      <c r="O94" s="89">
        <v>13716300</v>
      </c>
      <c r="P94" s="90">
        <v>29495216</v>
      </c>
      <c r="R94" s="52" t="s">
        <v>216</v>
      </c>
      <c r="S94" s="89">
        <v>958755</v>
      </c>
      <c r="U94" s="52" t="s">
        <v>127</v>
      </c>
      <c r="V94" s="53">
        <v>43211516</v>
      </c>
      <c r="W94" s="89">
        <v>13716300</v>
      </c>
      <c r="X94" s="90">
        <v>29495216</v>
      </c>
    </row>
    <row r="95" spans="3:24" x14ac:dyDescent="0.2">
      <c r="C95" s="52" t="s">
        <v>228</v>
      </c>
      <c r="D95" s="235">
        <f t="shared" si="7"/>
        <v>630721.60400000005</v>
      </c>
      <c r="F95" t="str">
        <f t="shared" si="3"/>
        <v/>
      </c>
      <c r="G95" t="str">
        <f t="shared" si="4"/>
        <v/>
      </c>
      <c r="H95" t="str">
        <f t="shared" si="5"/>
        <v/>
      </c>
      <c r="I95" t="str">
        <f t="shared" si="6"/>
        <v>Ruidoso</v>
      </c>
      <c r="M95" t="s">
        <v>97</v>
      </c>
      <c r="N95" s="48">
        <v>186132056</v>
      </c>
      <c r="O95" s="86">
        <v>114246521</v>
      </c>
      <c r="P95" s="87">
        <v>71885535</v>
      </c>
      <c r="R95" t="s">
        <v>184</v>
      </c>
      <c r="S95" s="86">
        <v>934421</v>
      </c>
      <c r="U95" t="s">
        <v>97</v>
      </c>
      <c r="V95" s="48">
        <v>186132056</v>
      </c>
      <c r="W95" s="86">
        <v>114246521</v>
      </c>
      <c r="X95" s="87">
        <v>71885535</v>
      </c>
    </row>
    <row r="96" spans="3:24" x14ac:dyDescent="0.2">
      <c r="C96" t="s">
        <v>232</v>
      </c>
      <c r="D96" s="235">
        <f t="shared" si="7"/>
        <v>57899.017999999996</v>
      </c>
      <c r="F96" t="str">
        <f t="shared" si="3"/>
        <v/>
      </c>
      <c r="G96" t="str">
        <f t="shared" si="4"/>
        <v/>
      </c>
      <c r="H96" t="str">
        <f t="shared" si="5"/>
        <v>Ruidoso Downs</v>
      </c>
      <c r="I96" t="str">
        <f t="shared" si="6"/>
        <v/>
      </c>
      <c r="M96" s="52" t="s">
        <v>58</v>
      </c>
      <c r="N96" s="53">
        <v>97818049</v>
      </c>
      <c r="O96" s="89">
        <v>64369373</v>
      </c>
      <c r="P96" s="90">
        <v>33448676</v>
      </c>
      <c r="R96" s="52" t="s">
        <v>153</v>
      </c>
      <c r="S96" s="89">
        <v>909919</v>
      </c>
      <c r="U96" s="52" t="s">
        <v>58</v>
      </c>
      <c r="V96" s="53">
        <v>97818049</v>
      </c>
      <c r="W96" s="89">
        <v>64369373</v>
      </c>
      <c r="X96" s="90">
        <v>33448676</v>
      </c>
    </row>
    <row r="97" spans="3:31" x14ac:dyDescent="0.2">
      <c r="C97" s="52" t="s">
        <v>116</v>
      </c>
      <c r="D97" s="235">
        <f t="shared" si="7"/>
        <v>2945.1219999999998</v>
      </c>
      <c r="F97" t="str">
        <f t="shared" si="3"/>
        <v/>
      </c>
      <c r="G97" t="str">
        <f t="shared" si="4"/>
        <v>San Jon</v>
      </c>
      <c r="I97" t="str">
        <f t="shared" si="6"/>
        <v/>
      </c>
      <c r="M97" t="s">
        <v>218</v>
      </c>
      <c r="N97" s="48">
        <v>9797740</v>
      </c>
      <c r="O97" s="86">
        <v>7533398</v>
      </c>
      <c r="P97" s="87">
        <v>2264342</v>
      </c>
      <c r="R97" s="52" t="s">
        <v>116</v>
      </c>
      <c r="S97" s="89">
        <v>726081</v>
      </c>
      <c r="U97" t="s">
        <v>218</v>
      </c>
      <c r="V97" s="48">
        <v>9797740</v>
      </c>
      <c r="W97" s="86">
        <v>7533398</v>
      </c>
      <c r="X97" s="87">
        <v>2264342</v>
      </c>
    </row>
    <row r="98" spans="3:31" x14ac:dyDescent="0.2">
      <c r="C98" t="s">
        <v>244</v>
      </c>
      <c r="D98" s="235">
        <f t="shared" si="7"/>
        <v>4345.87</v>
      </c>
      <c r="F98" t="str">
        <f t="shared" si="3"/>
        <v/>
      </c>
      <c r="G98" t="str">
        <f t="shared" si="4"/>
        <v>San Ysidro</v>
      </c>
      <c r="I98" t="str">
        <f t="shared" si="6"/>
        <v/>
      </c>
      <c r="M98" s="52" t="s">
        <v>289</v>
      </c>
      <c r="N98" s="53">
        <v>146013137</v>
      </c>
      <c r="O98" s="89">
        <v>73072672</v>
      </c>
      <c r="P98" s="90">
        <v>72940465</v>
      </c>
      <c r="R98" t="s">
        <v>255</v>
      </c>
      <c r="S98" s="86">
        <v>702413</v>
      </c>
      <c r="U98" s="52" t="s">
        <v>289</v>
      </c>
      <c r="V98" s="53">
        <v>146013137</v>
      </c>
      <c r="W98" s="89">
        <v>73072672</v>
      </c>
      <c r="X98" s="90">
        <v>72940465</v>
      </c>
    </row>
    <row r="99" spans="3:31" x14ac:dyDescent="0.2">
      <c r="C99" s="52" t="s">
        <v>114</v>
      </c>
      <c r="D99" s="235">
        <f t="shared" si="7"/>
        <v>16653.185000000001</v>
      </c>
      <c r="F99" t="str">
        <f t="shared" si="3"/>
        <v/>
      </c>
      <c r="G99" t="str">
        <f t="shared" si="4"/>
        <v/>
      </c>
      <c r="H99" t="str">
        <f t="shared" si="5"/>
        <v>Santa Clara</v>
      </c>
      <c r="I99" t="str">
        <f t="shared" si="6"/>
        <v/>
      </c>
      <c r="M99" t="s">
        <v>124</v>
      </c>
      <c r="N99" s="48">
        <v>87161078</v>
      </c>
      <c r="O99" s="86">
        <v>53045757</v>
      </c>
      <c r="P99" s="87">
        <v>34115321</v>
      </c>
      <c r="R99" t="s">
        <v>201</v>
      </c>
      <c r="S99" s="86">
        <v>517596</v>
      </c>
      <c r="U99" t="s">
        <v>124</v>
      </c>
      <c r="V99" s="48">
        <v>87161078</v>
      </c>
      <c r="W99" s="86">
        <v>53045757</v>
      </c>
      <c r="X99" s="87">
        <v>34115321</v>
      </c>
    </row>
    <row r="100" spans="3:31" x14ac:dyDescent="0.2">
      <c r="C100" t="s">
        <v>56</v>
      </c>
      <c r="D100" s="235">
        <f t="shared" si="7"/>
        <v>4946200.6919999998</v>
      </c>
      <c r="F100" t="str">
        <f t="shared" si="3"/>
        <v/>
      </c>
      <c r="G100" t="str">
        <f t="shared" si="4"/>
        <v/>
      </c>
      <c r="H100" t="str">
        <f t="shared" si="5"/>
        <v/>
      </c>
      <c r="I100" t="str">
        <f t="shared" si="6"/>
        <v>Santa Fe</v>
      </c>
      <c r="M100" s="52" t="s">
        <v>59</v>
      </c>
      <c r="N100" s="53">
        <v>301512907</v>
      </c>
      <c r="O100" s="89">
        <v>150086720</v>
      </c>
      <c r="P100" s="90">
        <v>151426187</v>
      </c>
      <c r="R100" s="52" t="s">
        <v>169</v>
      </c>
      <c r="S100" s="89">
        <v>512835</v>
      </c>
      <c r="U100" s="52" t="s">
        <v>59</v>
      </c>
      <c r="V100" s="53">
        <v>301512907</v>
      </c>
      <c r="W100" s="89">
        <v>150086720</v>
      </c>
      <c r="X100" s="90">
        <v>151426187</v>
      </c>
    </row>
    <row r="101" spans="3:31" x14ac:dyDescent="0.2">
      <c r="C101" s="52" t="s">
        <v>127</v>
      </c>
      <c r="D101" s="235">
        <f t="shared" si="7"/>
        <v>52655.703000000001</v>
      </c>
      <c r="F101" t="str">
        <f t="shared" si="3"/>
        <v/>
      </c>
      <c r="G101" t="str">
        <f t="shared" si="4"/>
        <v/>
      </c>
      <c r="H101" t="str">
        <f t="shared" si="5"/>
        <v>Santa Rosa</v>
      </c>
      <c r="I101" t="str">
        <f t="shared" si="6"/>
        <v/>
      </c>
      <c r="M101" t="s">
        <v>186</v>
      </c>
      <c r="N101" s="48">
        <v>58495356</v>
      </c>
      <c r="O101" s="86">
        <v>21445059</v>
      </c>
      <c r="P101" s="87">
        <v>37050297</v>
      </c>
      <c r="R101" s="52" t="s">
        <v>230</v>
      </c>
      <c r="S101" s="89">
        <v>440981</v>
      </c>
      <c r="U101" t="s">
        <v>186</v>
      </c>
      <c r="V101" s="48">
        <v>58495356</v>
      </c>
      <c r="W101" s="86">
        <v>21445059</v>
      </c>
      <c r="X101" s="87">
        <v>37050297</v>
      </c>
    </row>
    <row r="102" spans="3:31" x14ac:dyDescent="0.2">
      <c r="C102" t="s">
        <v>97</v>
      </c>
      <c r="D102" s="235">
        <f t="shared" si="7"/>
        <v>229391.486</v>
      </c>
      <c r="F102" t="str">
        <f t="shared" si="3"/>
        <v/>
      </c>
      <c r="G102" t="str">
        <f t="shared" si="4"/>
        <v/>
      </c>
      <c r="H102" t="str">
        <f t="shared" si="5"/>
        <v/>
      </c>
      <c r="I102" t="str">
        <f t="shared" si="6"/>
        <v>Silver City</v>
      </c>
      <c r="M102" s="52" t="s">
        <v>204</v>
      </c>
      <c r="N102" s="53">
        <v>4570455</v>
      </c>
      <c r="O102" s="89">
        <v>2664009</v>
      </c>
      <c r="P102" s="90">
        <v>1906446</v>
      </c>
      <c r="R102" s="52" t="s">
        <v>146</v>
      </c>
      <c r="S102" s="89">
        <v>418869</v>
      </c>
      <c r="U102" s="52" t="s">
        <v>204</v>
      </c>
      <c r="V102" s="53">
        <v>4570455</v>
      </c>
      <c r="W102" s="89">
        <v>2664009</v>
      </c>
      <c r="X102" s="90">
        <v>1906446</v>
      </c>
      <c r="AE102" s="326"/>
    </row>
    <row r="103" spans="3:31" x14ac:dyDescent="0.2">
      <c r="C103" s="52" t="s">
        <v>58</v>
      </c>
      <c r="D103" s="235">
        <f t="shared" si="7"/>
        <v>128523.58</v>
      </c>
      <c r="F103" t="str">
        <f t="shared" si="3"/>
        <v/>
      </c>
      <c r="G103" t="str">
        <f t="shared" si="4"/>
        <v/>
      </c>
      <c r="H103" t="str">
        <f t="shared" si="5"/>
        <v/>
      </c>
      <c r="I103" t="str">
        <f t="shared" si="6"/>
        <v>Socorro</v>
      </c>
      <c r="M103" t="s">
        <v>250</v>
      </c>
      <c r="N103" s="48">
        <v>5491486</v>
      </c>
      <c r="O103" s="86">
        <v>3535067</v>
      </c>
      <c r="P103" s="87">
        <v>1956419</v>
      </c>
      <c r="R103" t="s">
        <v>78</v>
      </c>
      <c r="S103" s="86">
        <v>413376</v>
      </c>
      <c r="U103" t="s">
        <v>250</v>
      </c>
      <c r="V103" s="48">
        <v>5491486</v>
      </c>
      <c r="W103" s="86">
        <v>3535067</v>
      </c>
      <c r="X103" s="87">
        <v>1956419</v>
      </c>
    </row>
    <row r="104" spans="3:31" x14ac:dyDescent="0.2">
      <c r="C104" t="s">
        <v>218</v>
      </c>
      <c r="D104" s="235">
        <f t="shared" si="7"/>
        <v>11654.761</v>
      </c>
      <c r="F104" t="str">
        <f t="shared" si="3"/>
        <v/>
      </c>
      <c r="G104" t="str">
        <f t="shared" si="4"/>
        <v/>
      </c>
      <c r="H104" t="str">
        <f t="shared" si="5"/>
        <v>Springer</v>
      </c>
      <c r="I104" t="str">
        <f t="shared" si="6"/>
        <v/>
      </c>
      <c r="M104" s="52" t="s">
        <v>86</v>
      </c>
      <c r="N104" s="53">
        <v>10363770</v>
      </c>
      <c r="O104" s="89">
        <v>7178416</v>
      </c>
      <c r="P104" s="90">
        <v>3185354</v>
      </c>
      <c r="R104" s="52" t="s">
        <v>260</v>
      </c>
      <c r="S104" s="89">
        <v>394851</v>
      </c>
      <c r="U104" s="52" t="s">
        <v>86</v>
      </c>
      <c r="V104" s="53">
        <v>10363770</v>
      </c>
      <c r="W104" s="89">
        <v>7178416</v>
      </c>
      <c r="X104" s="90">
        <v>3185354</v>
      </c>
    </row>
    <row r="105" spans="3:31" x14ac:dyDescent="0.2">
      <c r="C105" s="52" t="s">
        <v>289</v>
      </c>
      <c r="D105" s="235">
        <f t="shared" si="7"/>
        <v>311430.23700000002</v>
      </c>
      <c r="F105" t="str">
        <f t="shared" si="3"/>
        <v/>
      </c>
      <c r="G105" t="str">
        <f t="shared" si="4"/>
        <v/>
      </c>
      <c r="H105" t="str">
        <f t="shared" si="5"/>
        <v/>
      </c>
      <c r="I105" t="str">
        <f t="shared" si="6"/>
        <v>Sunland Park</v>
      </c>
      <c r="M105" t="s">
        <v>99</v>
      </c>
      <c r="N105" s="48">
        <v>49691093</v>
      </c>
      <c r="O105" s="86">
        <v>23231378</v>
      </c>
      <c r="P105" s="87">
        <v>26459715</v>
      </c>
      <c r="R105" s="52" t="s">
        <v>105</v>
      </c>
      <c r="S105" s="89">
        <v>374593</v>
      </c>
      <c r="U105" t="s">
        <v>99</v>
      </c>
      <c r="V105" s="48">
        <v>49691093</v>
      </c>
      <c r="W105" s="86">
        <v>23231378</v>
      </c>
      <c r="X105" s="87">
        <v>26459715</v>
      </c>
    </row>
    <row r="106" spans="3:31" x14ac:dyDescent="0.2">
      <c r="C106" t="s">
        <v>124</v>
      </c>
      <c r="D106" s="235">
        <f t="shared" si="7"/>
        <v>107357.753</v>
      </c>
      <c r="F106" t="str">
        <f t="shared" si="3"/>
        <v/>
      </c>
      <c r="G106" t="str">
        <f t="shared" si="4"/>
        <v/>
      </c>
      <c r="H106" t="str">
        <f t="shared" si="5"/>
        <v/>
      </c>
      <c r="I106" t="str">
        <f t="shared" si="6"/>
        <v>T or C</v>
      </c>
      <c r="M106" s="52" t="s">
        <v>311</v>
      </c>
      <c r="N106" s="53">
        <v>26877194</v>
      </c>
      <c r="O106" s="89">
        <v>19189141</v>
      </c>
      <c r="P106" s="90">
        <v>7688053</v>
      </c>
      <c r="R106" t="s">
        <v>191</v>
      </c>
      <c r="S106" s="86">
        <v>373081</v>
      </c>
      <c r="U106" s="52" t="s">
        <v>311</v>
      </c>
      <c r="V106" s="53">
        <v>26877194</v>
      </c>
      <c r="W106" s="89">
        <v>19189141</v>
      </c>
      <c r="X106" s="90">
        <v>7688053</v>
      </c>
    </row>
    <row r="107" spans="3:31" x14ac:dyDescent="0.2">
      <c r="C107" s="52" t="s">
        <v>59</v>
      </c>
      <c r="D107" s="235">
        <f t="shared" si="7"/>
        <v>371071.973</v>
      </c>
      <c r="F107" t="str">
        <f t="shared" si="3"/>
        <v/>
      </c>
      <c r="G107" t="str">
        <f t="shared" si="4"/>
        <v/>
      </c>
      <c r="H107" t="str">
        <f t="shared" si="5"/>
        <v/>
      </c>
      <c r="I107" t="str">
        <f t="shared" si="6"/>
        <v>Taos</v>
      </c>
      <c r="M107" t="s">
        <v>133</v>
      </c>
      <c r="N107" s="48">
        <v>6315498</v>
      </c>
      <c r="O107" s="86">
        <v>2163370</v>
      </c>
      <c r="P107" s="87">
        <v>4152128</v>
      </c>
      <c r="R107" t="s">
        <v>257</v>
      </c>
      <c r="S107" s="86">
        <v>342101</v>
      </c>
      <c r="U107" t="s">
        <v>133</v>
      </c>
      <c r="V107" s="48">
        <v>6315498</v>
      </c>
      <c r="W107" s="86">
        <v>2163370</v>
      </c>
      <c r="X107" s="87">
        <v>4152128</v>
      </c>
    </row>
    <row r="108" spans="3:31" x14ac:dyDescent="0.2">
      <c r="C108" t="s">
        <v>186</v>
      </c>
      <c r="D108" s="235">
        <f t="shared" si="7"/>
        <v>102218.927</v>
      </c>
      <c r="F108" t="str">
        <f t="shared" si="3"/>
        <v/>
      </c>
      <c r="G108" t="str">
        <f t="shared" si="4"/>
        <v/>
      </c>
      <c r="H108" t="str">
        <f t="shared" si="5"/>
        <v/>
      </c>
      <c r="I108" t="str">
        <f t="shared" si="6"/>
        <v>Taos Ski Valley</v>
      </c>
      <c r="M108" s="52" t="s">
        <v>169</v>
      </c>
      <c r="N108" s="53">
        <v>872844</v>
      </c>
      <c r="O108" s="89">
        <v>512835</v>
      </c>
      <c r="P108" s="90">
        <v>360009</v>
      </c>
      <c r="R108" s="52" t="s">
        <v>195</v>
      </c>
      <c r="S108" s="89">
        <v>194451</v>
      </c>
      <c r="U108" s="52" t="s">
        <v>169</v>
      </c>
      <c r="V108" s="53">
        <v>872844</v>
      </c>
      <c r="W108" s="89">
        <v>512835</v>
      </c>
      <c r="X108" s="90">
        <v>360009</v>
      </c>
    </row>
    <row r="109" spans="3:31" x14ac:dyDescent="0.2">
      <c r="C109" s="52" t="s">
        <v>204</v>
      </c>
      <c r="D109" s="235">
        <f t="shared" si="7"/>
        <v>6956.7879999999996</v>
      </c>
      <c r="F109" t="str">
        <f t="shared" si="3"/>
        <v/>
      </c>
      <c r="G109" t="str">
        <f t="shared" si="4"/>
        <v>Tatum</v>
      </c>
      <c r="I109" t="str">
        <f t="shared" si="6"/>
        <v/>
      </c>
      <c r="M109" t="s">
        <v>291</v>
      </c>
      <c r="N109" s="48">
        <v>4044953</v>
      </c>
      <c r="O109" s="86">
        <v>2070765</v>
      </c>
      <c r="P109" s="87">
        <v>1974188</v>
      </c>
      <c r="R109" t="s">
        <v>263</v>
      </c>
      <c r="S109" s="86">
        <v>115848</v>
      </c>
      <c r="U109" t="s">
        <v>291</v>
      </c>
      <c r="V109" s="48">
        <v>4044953</v>
      </c>
      <c r="W109" s="86">
        <v>2070765</v>
      </c>
      <c r="X109" s="87">
        <v>1974188</v>
      </c>
    </row>
    <row r="110" spans="3:31" x14ac:dyDescent="0.2">
      <c r="C110" t="s">
        <v>250</v>
      </c>
      <c r="D110" s="235">
        <f t="shared" si="7"/>
        <v>8573.4169999999995</v>
      </c>
      <c r="F110" t="str">
        <f t="shared" si="3"/>
        <v/>
      </c>
      <c r="G110" t="str">
        <f t="shared" si="4"/>
        <v>Texico</v>
      </c>
      <c r="I110" t="str">
        <f t="shared" si="6"/>
        <v/>
      </c>
      <c r="M110" s="52" t="s">
        <v>216</v>
      </c>
      <c r="N110" s="53">
        <v>1560361</v>
      </c>
      <c r="O110" s="89">
        <v>958755</v>
      </c>
      <c r="P110" s="90">
        <v>601606</v>
      </c>
      <c r="S110" s="122"/>
      <c r="U110" s="52" t="s">
        <v>216</v>
      </c>
      <c r="V110" s="53">
        <v>1560361</v>
      </c>
      <c r="W110" s="89">
        <v>958755</v>
      </c>
      <c r="X110" s="90">
        <v>601606</v>
      </c>
    </row>
    <row r="111" spans="3:31" x14ac:dyDescent="0.2">
      <c r="C111" s="52" t="s">
        <v>86</v>
      </c>
      <c r="D111" s="235">
        <f t="shared" si="7"/>
        <v>16083.156999999999</v>
      </c>
      <c r="F111" t="str">
        <f t="shared" si="3"/>
        <v/>
      </c>
      <c r="G111" t="str">
        <f t="shared" si="4"/>
        <v/>
      </c>
      <c r="H111" t="str">
        <f t="shared" si="5"/>
        <v>Tijeras</v>
      </c>
      <c r="I111" t="str">
        <f t="shared" si="6"/>
        <v/>
      </c>
      <c r="M111" t="s">
        <v>130</v>
      </c>
      <c r="N111" s="48">
        <v>5024064</v>
      </c>
      <c r="O111" s="86">
        <v>3644684</v>
      </c>
      <c r="P111" s="87">
        <v>1379380</v>
      </c>
      <c r="S111" s="122"/>
      <c r="U111" t="s">
        <v>130</v>
      </c>
      <c r="V111" s="48">
        <v>5024064</v>
      </c>
      <c r="W111" s="86">
        <v>3644684</v>
      </c>
      <c r="X111" s="87">
        <v>1379380</v>
      </c>
    </row>
    <row r="112" spans="3:31" ht="13.5" thickBot="1" x14ac:dyDescent="0.25">
      <c r="C112" t="s">
        <v>99</v>
      </c>
      <c r="D112" s="235">
        <f t="shared" si="7"/>
        <v>80988.345000000001</v>
      </c>
      <c r="F112" t="str">
        <f t="shared" si="3"/>
        <v/>
      </c>
      <c r="G112" t="str">
        <f t="shared" si="4"/>
        <v/>
      </c>
      <c r="H112" t="str">
        <f t="shared" si="5"/>
        <v>Tucumcari</v>
      </c>
      <c r="I112" t="str">
        <f t="shared" si="6"/>
        <v/>
      </c>
      <c r="M112" s="76" t="s">
        <v>0</v>
      </c>
      <c r="N112" s="121">
        <v>29026829932</v>
      </c>
      <c r="O112" s="93">
        <v>20109564496</v>
      </c>
      <c r="P112" s="94">
        <v>8738523610</v>
      </c>
      <c r="R112" s="76" t="s">
        <v>0</v>
      </c>
      <c r="S112" s="93">
        <v>20109564496</v>
      </c>
      <c r="U112" s="76" t="s">
        <v>0</v>
      </c>
      <c r="V112" s="121">
        <v>29026829932</v>
      </c>
      <c r="W112" s="93">
        <v>20109564496</v>
      </c>
      <c r="X112" s="94">
        <v>8738523610</v>
      </c>
    </row>
    <row r="113" spans="3:10" x14ac:dyDescent="0.2">
      <c r="C113" s="52" t="s">
        <v>311</v>
      </c>
      <c r="D113" s="235">
        <f t="shared" si="7"/>
        <v>37264.963000000003</v>
      </c>
      <c r="F113" t="str">
        <f t="shared" si="3"/>
        <v/>
      </c>
      <c r="G113" t="str">
        <f t="shared" si="4"/>
        <v/>
      </c>
      <c r="H113" t="str">
        <f t="shared" si="5"/>
        <v>Tularosa</v>
      </c>
      <c r="I113" t="str">
        <f t="shared" si="6"/>
        <v/>
      </c>
    </row>
    <row r="114" spans="3:10" x14ac:dyDescent="0.2">
      <c r="C114" t="s">
        <v>133</v>
      </c>
      <c r="D114" s="235">
        <f t="shared" si="7"/>
        <v>9978.5879999999997</v>
      </c>
      <c r="F114" t="str">
        <f t="shared" si="3"/>
        <v/>
      </c>
      <c r="G114" t="str">
        <f t="shared" si="4"/>
        <v>Vaughn</v>
      </c>
      <c r="I114" t="str">
        <f t="shared" si="6"/>
        <v/>
      </c>
    </row>
    <row r="115" spans="3:10" x14ac:dyDescent="0.2">
      <c r="C115" s="52" t="s">
        <v>169</v>
      </c>
      <c r="D115" s="235">
        <f t="shared" si="7"/>
        <v>1244.2570000000001</v>
      </c>
      <c r="F115" t="str">
        <f t="shared" si="3"/>
        <v/>
      </c>
      <c r="G115" t="str">
        <f t="shared" si="4"/>
        <v>Virden</v>
      </c>
      <c r="H115" s="335"/>
      <c r="I115" t="str">
        <f t="shared" si="6"/>
        <v/>
      </c>
    </row>
    <row r="116" spans="3:10" x14ac:dyDescent="0.2">
      <c r="C116" t="s">
        <v>291</v>
      </c>
      <c r="D116" s="235">
        <f t="shared" si="7"/>
        <v>6142.77</v>
      </c>
      <c r="F116" t="str">
        <f t="shared" si="3"/>
        <v/>
      </c>
      <c r="G116" t="str">
        <f t="shared" si="4"/>
        <v>Wagon Mound</v>
      </c>
      <c r="I116" t="str">
        <f t="shared" si="6"/>
        <v/>
      </c>
    </row>
    <row r="117" spans="3:10" x14ac:dyDescent="0.2">
      <c r="C117" s="52" t="s">
        <v>216</v>
      </c>
      <c r="D117" s="235">
        <f t="shared" si="7"/>
        <v>2272.7089999999998</v>
      </c>
      <c r="F117" t="str">
        <f t="shared" si="3"/>
        <v/>
      </c>
      <c r="G117" t="str">
        <f t="shared" si="4"/>
        <v>Willard</v>
      </c>
      <c r="I117" t="str">
        <f t="shared" si="6"/>
        <v/>
      </c>
    </row>
    <row r="118" spans="3:10" x14ac:dyDescent="0.2">
      <c r="C118" t="s">
        <v>130</v>
      </c>
      <c r="D118" s="235">
        <f t="shared" si="7"/>
        <v>5780.4579999999996</v>
      </c>
      <c r="F118" s="406" t="str">
        <f t="shared" si="3"/>
        <v/>
      </c>
      <c r="G118" s="406" t="str">
        <f t="shared" si="4"/>
        <v>Williamsburg</v>
      </c>
      <c r="H118" s="406"/>
      <c r="I118" s="406" t="str">
        <f t="shared" si="6"/>
        <v/>
      </c>
      <c r="J118" s="117"/>
    </row>
    <row r="119" spans="3:10" x14ac:dyDescent="0.2">
      <c r="E119" t="s">
        <v>461</v>
      </c>
      <c r="F119" s="144">
        <f>$D$120-COUNTBLANK(F67:F118)</f>
        <v>0</v>
      </c>
      <c r="G119" s="144">
        <f t="shared" ref="G119:I119" si="8">$D$120-COUNTBLANK(G67:G118)</f>
        <v>16</v>
      </c>
      <c r="H119" s="144">
        <f t="shared" si="8"/>
        <v>19</v>
      </c>
      <c r="I119" s="144">
        <f t="shared" si="8"/>
        <v>17</v>
      </c>
      <c r="J119" s="439">
        <f>SUM(F119:I119)</f>
        <v>52</v>
      </c>
    </row>
    <row r="120" spans="3:10" ht="13.5" thickBot="1" x14ac:dyDescent="0.25">
      <c r="C120" s="386" t="s">
        <v>518</v>
      </c>
      <c r="D120" s="387">
        <f>COUNT(D66:D118)</f>
        <v>52</v>
      </c>
      <c r="J120" s="332" t="str">
        <f>IF(D120=J119,"OK","Error")</f>
        <v>OK</v>
      </c>
    </row>
    <row r="121" spans="3:10" ht="13.5" thickBot="1" x14ac:dyDescent="0.25">
      <c r="E121" s="327" t="s">
        <v>462</v>
      </c>
      <c r="F121" s="328">
        <f>F119+'Table 20 part 1'!G122</f>
        <v>2</v>
      </c>
      <c r="G121" s="328">
        <f>G119+'Table 20 part 1'!H122</f>
        <v>28</v>
      </c>
      <c r="H121" s="328">
        <f>H119+'Table 20 part 1'!I122</f>
        <v>40</v>
      </c>
      <c r="I121" s="328">
        <f>I119+'Table 20 part 1'!J122</f>
        <v>36</v>
      </c>
      <c r="J121" s="329">
        <f>SUM(F121:I121)</f>
        <v>106</v>
      </c>
    </row>
    <row r="122" spans="3:10" x14ac:dyDescent="0.2">
      <c r="J122" s="332" t="str">
        <f>IF(J121=(D120+'Table 20 part 1'!D123),"OK","ERROR")</f>
        <v>OK</v>
      </c>
    </row>
  </sheetData>
  <mergeCells count="1">
    <mergeCell ref="C64:J64"/>
  </mergeCells>
  <phoneticPr fontId="38" type="noConversion"/>
  <printOptions horizontalCentered="1" verticalCentered="1"/>
  <pageMargins left="0.5" right="0.5" top="0.5" bottom="0.5" header="0" footer="0"/>
  <pageSetup scale="7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C1:R113"/>
  <sheetViews>
    <sheetView showGridLines="0" showZeros="0" view="pageBreakPreview" zoomScaleNormal="100" zoomScaleSheetLayoutView="100" workbookViewId="0">
      <selection activeCell="C12" sqref="C12"/>
    </sheetView>
  </sheetViews>
  <sheetFormatPr defaultRowHeight="12.75" x14ac:dyDescent="0.2"/>
  <cols>
    <col min="3" max="3" width="13.42578125" bestFit="1" customWidth="1"/>
    <col min="4" max="5" width="11.140625" customWidth="1"/>
    <col min="6" max="6" width="12.7109375" customWidth="1"/>
    <col min="7" max="7" width="11.140625" customWidth="1"/>
    <col min="8" max="8" width="10.42578125" customWidth="1"/>
    <col min="9" max="9" width="9.85546875" customWidth="1"/>
    <col min="10" max="10" width="8.5703125" customWidth="1"/>
    <col min="13" max="13" width="11.42578125" hidden="1" customWidth="1"/>
    <col min="14" max="14" width="12.7109375" hidden="1" customWidth="1"/>
    <col min="15" max="15" width="15.7109375" hidden="1" customWidth="1"/>
    <col min="16" max="16" width="11.85546875" hidden="1" customWidth="1"/>
    <col min="17" max="17" width="14.140625" style="176" hidden="1" customWidth="1"/>
    <col min="18" max="21" width="0" hidden="1" customWidth="1"/>
  </cols>
  <sheetData>
    <row r="1" spans="3:18" ht="15" x14ac:dyDescent="0.25">
      <c r="C1" s="83" t="s">
        <v>443</v>
      </c>
    </row>
    <row r="2" spans="3:18" ht="15" x14ac:dyDescent="0.25">
      <c r="C2" s="74" t="s">
        <v>497</v>
      </c>
      <c r="F2" s="74" t="str">
        <f>'table 1 &amp; 2'!C2</f>
        <v>2022 Tax Year</v>
      </c>
    </row>
    <row r="3" spans="3:18" ht="10.5" customHeight="1" x14ac:dyDescent="0.2"/>
    <row r="4" spans="3:18" ht="15.75" x14ac:dyDescent="0.25">
      <c r="C4" s="3" t="s">
        <v>332</v>
      </c>
    </row>
    <row r="5" spans="3:18" ht="15.75" x14ac:dyDescent="0.25">
      <c r="C5" s="3" t="s">
        <v>523</v>
      </c>
      <c r="D5" s="7"/>
      <c r="E5" s="7"/>
      <c r="F5" s="7"/>
      <c r="G5" s="7"/>
      <c r="H5" s="7"/>
      <c r="I5" s="3" t="str">
        <f>F2</f>
        <v>2022 Tax Year</v>
      </c>
      <c r="J5" s="7"/>
    </row>
    <row r="6" spans="3:18" ht="6" customHeight="1" x14ac:dyDescent="0.2">
      <c r="C6" s="7"/>
      <c r="D6" s="7"/>
      <c r="E6" s="7"/>
      <c r="F6" s="7"/>
      <c r="G6" s="7"/>
      <c r="H6" s="7"/>
      <c r="I6" s="7"/>
      <c r="J6" s="7"/>
    </row>
    <row r="7" spans="3:18" x14ac:dyDescent="0.2">
      <c r="C7" s="6"/>
      <c r="D7" s="6"/>
      <c r="E7" s="122"/>
      <c r="G7" s="21"/>
      <c r="H7" s="82" t="s">
        <v>338</v>
      </c>
      <c r="I7" s="6"/>
      <c r="J7" s="6"/>
      <c r="Q7" s="176">
        <f>SUM(Q8:Q112)</f>
        <v>137560404.02470532</v>
      </c>
    </row>
    <row r="8" spans="3:18" ht="13.5" thickBot="1" x14ac:dyDescent="0.25">
      <c r="C8" s="23" t="s">
        <v>75</v>
      </c>
      <c r="D8" s="68" t="s">
        <v>341</v>
      </c>
      <c r="E8" s="230" t="s">
        <v>9</v>
      </c>
      <c r="F8" s="68" t="s">
        <v>28</v>
      </c>
      <c r="G8" s="24" t="s">
        <v>340</v>
      </c>
      <c r="H8" s="25" t="s">
        <v>408</v>
      </c>
      <c r="I8" s="24" t="s">
        <v>10</v>
      </c>
      <c r="J8" s="68" t="s">
        <v>29</v>
      </c>
      <c r="P8" t="s">
        <v>76</v>
      </c>
      <c r="Q8" s="176">
        <v>73572763.886112005</v>
      </c>
      <c r="R8">
        <f>+Q8/Q7*100</f>
        <v>53.483969029996899</v>
      </c>
    </row>
    <row r="9" spans="3:18" x14ac:dyDescent="0.2">
      <c r="C9" s="52" t="s">
        <v>306</v>
      </c>
      <c r="D9" s="53">
        <f>G9+J9</f>
        <v>3594614.0819119997</v>
      </c>
      <c r="E9" s="252">
        <v>2450217.6351839998</v>
      </c>
      <c r="F9" s="251">
        <v>1144396.446728</v>
      </c>
      <c r="G9" s="90">
        <f>SUM(E9:F9)</f>
        <v>3594614.0819119997</v>
      </c>
      <c r="H9" s="91"/>
      <c r="I9" s="81"/>
      <c r="J9" s="81">
        <f>SUM(H9:I9)</f>
        <v>0</v>
      </c>
      <c r="M9" t="s">
        <v>306</v>
      </c>
      <c r="N9">
        <v>2501293.2214560001</v>
      </c>
      <c r="P9" t="s">
        <v>95</v>
      </c>
      <c r="Q9" s="176">
        <v>11364187.015395999</v>
      </c>
      <c r="R9">
        <f>+Q9/Q7*100</f>
        <v>8.2612341072762732</v>
      </c>
    </row>
    <row r="10" spans="3:18" x14ac:dyDescent="0.2">
      <c r="C10" t="s">
        <v>76</v>
      </c>
      <c r="D10" s="48">
        <f>G10+J10</f>
        <v>98177406.603016004</v>
      </c>
      <c r="E10" s="86">
        <v>76940189.245272011</v>
      </c>
      <c r="F10" s="87">
        <v>21237217.357743997</v>
      </c>
      <c r="G10" s="87">
        <f t="shared" ref="G10:G62" si="0">SUM(E10:F10)</f>
        <v>98177406.603016004</v>
      </c>
      <c r="H10" s="200"/>
      <c r="I10" s="80"/>
      <c r="J10" s="80">
        <f t="shared" ref="J10:J62" si="1">SUM(H10:I10)</f>
        <v>0</v>
      </c>
      <c r="M10" t="s">
        <v>76</v>
      </c>
      <c r="N10">
        <v>73572763.886112005</v>
      </c>
      <c r="P10" t="s">
        <v>281</v>
      </c>
      <c r="Q10" s="176">
        <v>8901280.7474450003</v>
      </c>
    </row>
    <row r="11" spans="3:18" x14ac:dyDescent="0.2">
      <c r="C11" s="52" t="s">
        <v>208</v>
      </c>
      <c r="D11" s="53">
        <f t="shared" ref="D11:D62" si="2">G11+J11</f>
        <v>1668806.1681130002</v>
      </c>
      <c r="E11" s="89">
        <v>1309538.2465630001</v>
      </c>
      <c r="F11" s="90">
        <v>359267.92155000003</v>
      </c>
      <c r="G11" s="90">
        <f t="shared" si="0"/>
        <v>1668806.1681130002</v>
      </c>
      <c r="H11" s="91"/>
      <c r="I11" s="81"/>
      <c r="J11" s="81">
        <f t="shared" si="1"/>
        <v>0</v>
      </c>
      <c r="M11" t="s">
        <v>208</v>
      </c>
      <c r="N11">
        <v>1154716.279906</v>
      </c>
      <c r="P11" t="s">
        <v>56</v>
      </c>
      <c r="Q11" s="176">
        <v>5058585.9192990009</v>
      </c>
    </row>
    <row r="12" spans="3:18" x14ac:dyDescent="0.2">
      <c r="C12" s="335" t="s">
        <v>447</v>
      </c>
      <c r="D12" s="48">
        <f t="shared" si="2"/>
        <v>624534.80040000007</v>
      </c>
      <c r="E12" s="86">
        <v>452882.55510000006</v>
      </c>
      <c r="F12" s="87">
        <v>171652.24530000001</v>
      </c>
      <c r="G12" s="87">
        <f t="shared" si="0"/>
        <v>624534.80040000007</v>
      </c>
      <c r="H12" s="86"/>
      <c r="I12" s="87"/>
      <c r="J12" s="87">
        <f t="shared" si="1"/>
        <v>0</v>
      </c>
      <c r="M12" t="s">
        <v>313</v>
      </c>
      <c r="N12">
        <v>487887.48482525005</v>
      </c>
      <c r="P12" t="s">
        <v>138</v>
      </c>
      <c r="Q12" s="176">
        <v>4260815.087293</v>
      </c>
    </row>
    <row r="13" spans="3:18" x14ac:dyDescent="0.2">
      <c r="C13" s="347" t="s">
        <v>313</v>
      </c>
      <c r="D13" s="53">
        <f>G13+J13</f>
        <v>1725226.0073090002</v>
      </c>
      <c r="E13" s="89">
        <v>627800.11830900004</v>
      </c>
      <c r="F13" s="90">
        <v>1097421.6085000001</v>
      </c>
      <c r="G13" s="90">
        <f t="shared" si="0"/>
        <v>1725221.7268090001</v>
      </c>
      <c r="H13" s="89">
        <v>3.6784999999999997</v>
      </c>
      <c r="I13" s="90">
        <v>0.60199999999999998</v>
      </c>
      <c r="J13" s="90">
        <f t="shared" si="1"/>
        <v>4.2805</v>
      </c>
      <c r="M13" t="s">
        <v>272</v>
      </c>
      <c r="N13">
        <v>542773.61978795007</v>
      </c>
      <c r="P13" t="s">
        <v>45</v>
      </c>
      <c r="Q13" s="176">
        <v>2763111.9128700001</v>
      </c>
    </row>
    <row r="14" spans="3:18" x14ac:dyDescent="0.2">
      <c r="C14" t="s">
        <v>272</v>
      </c>
      <c r="D14" s="48">
        <f t="shared" si="2"/>
        <v>743900.24572400004</v>
      </c>
      <c r="E14" s="86">
        <v>458198.84554400004</v>
      </c>
      <c r="F14" s="87">
        <v>275102.29945200001</v>
      </c>
      <c r="G14" s="87">
        <f t="shared" si="0"/>
        <v>733301.14499599999</v>
      </c>
      <c r="H14" s="200">
        <v>8658.667257000001</v>
      </c>
      <c r="I14" s="80">
        <v>1940.4334710000001</v>
      </c>
      <c r="J14" s="80">
        <f>SUM(H14:I14)</f>
        <v>10599.100728000001</v>
      </c>
      <c r="M14" t="s">
        <v>109</v>
      </c>
      <c r="N14">
        <v>25977.475674000001</v>
      </c>
      <c r="P14" t="s">
        <v>306</v>
      </c>
      <c r="Q14" s="176">
        <v>2501293.2214560001</v>
      </c>
    </row>
    <row r="15" spans="3:18" x14ac:dyDescent="0.2">
      <c r="C15" s="52" t="s">
        <v>109</v>
      </c>
      <c r="D15" s="53">
        <f t="shared" si="2"/>
        <v>103404.56683600001</v>
      </c>
      <c r="E15" s="89">
        <v>80987.27908600001</v>
      </c>
      <c r="F15" s="90">
        <v>22417.28775</v>
      </c>
      <c r="G15" s="90">
        <f t="shared" si="0"/>
        <v>103404.56683600001</v>
      </c>
      <c r="H15" s="91"/>
      <c r="I15" s="81"/>
      <c r="J15" s="81">
        <f t="shared" si="1"/>
        <v>0</v>
      </c>
      <c r="M15" t="s">
        <v>283</v>
      </c>
      <c r="N15">
        <v>615180.55891699996</v>
      </c>
      <c r="P15" t="s">
        <v>193</v>
      </c>
      <c r="Q15" s="176">
        <v>2457328.0183717501</v>
      </c>
    </row>
    <row r="16" spans="3:18" x14ac:dyDescent="0.2">
      <c r="C16" t="s">
        <v>283</v>
      </c>
      <c r="D16" s="48">
        <f t="shared" si="2"/>
        <v>1020507.037308</v>
      </c>
      <c r="E16" s="86">
        <v>497295.05258399999</v>
      </c>
      <c r="F16" s="87">
        <v>523211.98472399998</v>
      </c>
      <c r="G16" s="87">
        <f t="shared" si="0"/>
        <v>1020507.037308</v>
      </c>
      <c r="H16" s="200"/>
      <c r="I16" s="80"/>
      <c r="J16" s="80">
        <f t="shared" si="1"/>
        <v>0</v>
      </c>
      <c r="M16" t="s">
        <v>31</v>
      </c>
      <c r="N16">
        <v>576374.78508100007</v>
      </c>
      <c r="P16" t="s">
        <v>277</v>
      </c>
      <c r="Q16" s="176">
        <v>2190433.74021</v>
      </c>
    </row>
    <row r="17" spans="3:17" x14ac:dyDescent="0.2">
      <c r="C17" s="52" t="s">
        <v>31</v>
      </c>
      <c r="D17" s="53">
        <f t="shared" si="2"/>
        <v>874920.67645300005</v>
      </c>
      <c r="E17" s="89">
        <v>512184.44172800006</v>
      </c>
      <c r="F17" s="90">
        <v>362736.23472499999</v>
      </c>
      <c r="G17" s="90">
        <f t="shared" si="0"/>
        <v>874920.67645300005</v>
      </c>
      <c r="H17" s="89"/>
      <c r="I17" s="90"/>
      <c r="J17" s="90">
        <f t="shared" si="1"/>
        <v>0</v>
      </c>
      <c r="M17" t="s">
        <v>279</v>
      </c>
      <c r="N17">
        <v>531471.97191399999</v>
      </c>
      <c r="P17" t="s">
        <v>228</v>
      </c>
      <c r="Q17" s="176">
        <v>2158896.5128279999</v>
      </c>
    </row>
    <row r="18" spans="3:17" x14ac:dyDescent="0.2">
      <c r="C18" t="s">
        <v>279</v>
      </c>
      <c r="D18" s="48">
        <f t="shared" si="2"/>
        <v>887190.446429</v>
      </c>
      <c r="E18" s="86">
        <v>434754.35742899997</v>
      </c>
      <c r="F18" s="87">
        <v>446593.09100000001</v>
      </c>
      <c r="G18" s="87">
        <f t="shared" si="0"/>
        <v>881347.44842899998</v>
      </c>
      <c r="H18" s="200">
        <v>4998.7139999999999</v>
      </c>
      <c r="I18" s="80">
        <v>844.28399999999999</v>
      </c>
      <c r="J18" s="80">
        <f t="shared" si="1"/>
        <v>5842.9979999999996</v>
      </c>
      <c r="M18" t="s">
        <v>280</v>
      </c>
      <c r="N18">
        <v>134159.66288000002</v>
      </c>
      <c r="P18" t="s">
        <v>278</v>
      </c>
      <c r="Q18" s="176">
        <v>2157650.1409700001</v>
      </c>
    </row>
    <row r="19" spans="3:17" x14ac:dyDescent="0.2">
      <c r="C19" s="52" t="s">
        <v>280</v>
      </c>
      <c r="D19" s="53">
        <f t="shared" si="2"/>
        <v>303256.78780000005</v>
      </c>
      <c r="E19" s="89">
        <v>255230.50300000003</v>
      </c>
      <c r="F19" s="90">
        <v>48026.284800000001</v>
      </c>
      <c r="G19" s="90">
        <f t="shared" si="0"/>
        <v>303256.78780000005</v>
      </c>
      <c r="H19" s="91"/>
      <c r="I19" s="81"/>
      <c r="J19" s="81">
        <f t="shared" si="1"/>
        <v>0</v>
      </c>
      <c r="M19" t="s">
        <v>243</v>
      </c>
      <c r="N19">
        <v>27651.583121000003</v>
      </c>
      <c r="P19" t="s">
        <v>304</v>
      </c>
      <c r="Q19" s="176">
        <v>2024810.9214187497</v>
      </c>
    </row>
    <row r="20" spans="3:17" x14ac:dyDescent="0.2">
      <c r="C20" t="s">
        <v>243</v>
      </c>
      <c r="D20" s="48">
        <f t="shared" si="2"/>
        <v>98086.609476000012</v>
      </c>
      <c r="E20" s="86">
        <v>70391.736900000004</v>
      </c>
      <c r="F20" s="87">
        <v>27694.872576000002</v>
      </c>
      <c r="G20" s="87">
        <f t="shared" si="0"/>
        <v>98086.609476000012</v>
      </c>
      <c r="H20" s="86"/>
      <c r="I20" s="87"/>
      <c r="J20" s="87">
        <f t="shared" si="1"/>
        <v>0</v>
      </c>
      <c r="M20" t="s">
        <v>304</v>
      </c>
      <c r="N20">
        <v>2024810.9214187497</v>
      </c>
      <c r="P20" t="s">
        <v>276</v>
      </c>
      <c r="Q20" s="176">
        <v>1633657.288464</v>
      </c>
    </row>
    <row r="21" spans="3:17" x14ac:dyDescent="0.2">
      <c r="C21" s="52" t="s">
        <v>304</v>
      </c>
      <c r="D21" s="53">
        <f t="shared" si="2"/>
        <v>4149060.0886149998</v>
      </c>
      <c r="E21" s="89">
        <v>2306835.6072479999</v>
      </c>
      <c r="F21" s="90">
        <v>1820656.6304920001</v>
      </c>
      <c r="G21" s="90">
        <f t="shared" si="0"/>
        <v>4127492.2377399998</v>
      </c>
      <c r="H21" s="91">
        <v>17660.966174999998</v>
      </c>
      <c r="I21" s="81">
        <v>3906.8846999999996</v>
      </c>
      <c r="J21" s="81">
        <f t="shared" si="1"/>
        <v>21567.850874999996</v>
      </c>
      <c r="M21" t="s">
        <v>235</v>
      </c>
      <c r="N21">
        <v>44066.481979000004</v>
      </c>
      <c r="P21" t="s">
        <v>246</v>
      </c>
      <c r="Q21" s="176">
        <v>1560110.8214669998</v>
      </c>
    </row>
    <row r="22" spans="3:17" x14ac:dyDescent="0.2">
      <c r="C22" t="s">
        <v>235</v>
      </c>
      <c r="D22" s="48">
        <f t="shared" si="2"/>
        <v>119595.21935299999</v>
      </c>
      <c r="E22" s="86">
        <v>62644.120728000002</v>
      </c>
      <c r="F22" s="87">
        <v>56951.098624999999</v>
      </c>
      <c r="G22" s="87">
        <f t="shared" si="0"/>
        <v>119595.21935299999</v>
      </c>
      <c r="H22" s="200"/>
      <c r="I22" s="80"/>
      <c r="J22" s="80">
        <f t="shared" si="1"/>
        <v>0</v>
      </c>
      <c r="M22" t="s">
        <v>195</v>
      </c>
      <c r="N22">
        <v>1397.794811</v>
      </c>
      <c r="P22" t="s">
        <v>299</v>
      </c>
      <c r="Q22" s="176">
        <v>1347001.8373170001</v>
      </c>
    </row>
    <row r="23" spans="3:17" x14ac:dyDescent="0.2">
      <c r="C23" s="52" t="s">
        <v>195</v>
      </c>
      <c r="D23" s="53">
        <f t="shared" si="2"/>
        <v>2282.4091280000002</v>
      </c>
      <c r="E23" s="89">
        <v>543.90092800000002</v>
      </c>
      <c r="F23" s="90">
        <v>1738.5082</v>
      </c>
      <c r="G23" s="90">
        <f t="shared" si="0"/>
        <v>2282.4091280000002</v>
      </c>
      <c r="H23" s="91"/>
      <c r="I23" s="81"/>
      <c r="J23" s="81">
        <f t="shared" si="1"/>
        <v>0</v>
      </c>
      <c r="M23" t="s">
        <v>155</v>
      </c>
      <c r="N23">
        <v>76208.352286000008</v>
      </c>
      <c r="P23" t="s">
        <v>208</v>
      </c>
      <c r="Q23" s="176">
        <v>1154716.279906</v>
      </c>
    </row>
    <row r="24" spans="3:17" x14ac:dyDescent="0.2">
      <c r="C24" t="s">
        <v>155</v>
      </c>
      <c r="D24" s="48">
        <f t="shared" si="2"/>
        <v>134236.07353199998</v>
      </c>
      <c r="E24" s="86">
        <v>68715.390611999988</v>
      </c>
      <c r="F24" s="87">
        <v>65520.682919999999</v>
      </c>
      <c r="G24" s="87">
        <f t="shared" si="0"/>
        <v>134236.07353199998</v>
      </c>
      <c r="H24" s="200"/>
      <c r="I24" s="80"/>
      <c r="J24" s="80">
        <f t="shared" si="1"/>
        <v>0</v>
      </c>
      <c r="M24" t="s">
        <v>203</v>
      </c>
      <c r="N24">
        <v>61444.972392000003</v>
      </c>
      <c r="P24" t="s">
        <v>59</v>
      </c>
      <c r="Q24" s="176">
        <v>837097.34525899997</v>
      </c>
    </row>
    <row r="25" spans="3:17" x14ac:dyDescent="0.2">
      <c r="C25" s="52" t="s">
        <v>203</v>
      </c>
      <c r="D25" s="53">
        <f t="shared" si="2"/>
        <v>91853.083283999993</v>
      </c>
      <c r="E25" s="89">
        <v>56506.518383999995</v>
      </c>
      <c r="F25" s="90">
        <v>35346.564900000005</v>
      </c>
      <c r="G25" s="90">
        <f t="shared" si="0"/>
        <v>91853.083283999993</v>
      </c>
      <c r="H25" s="91"/>
      <c r="I25" s="81"/>
      <c r="J25" s="81">
        <f t="shared" si="1"/>
        <v>0</v>
      </c>
      <c r="M25" t="s">
        <v>253</v>
      </c>
      <c r="N25">
        <v>121538.72240999999</v>
      </c>
      <c r="P25" t="s">
        <v>90</v>
      </c>
      <c r="Q25" s="176">
        <v>731378.45758499997</v>
      </c>
    </row>
    <row r="26" spans="3:17" x14ac:dyDescent="0.2">
      <c r="C26" t="s">
        <v>253</v>
      </c>
      <c r="D26" s="48">
        <f t="shared" si="2"/>
        <v>178980.34945400001</v>
      </c>
      <c r="E26" s="86">
        <v>98911.454719999994</v>
      </c>
      <c r="F26" s="87">
        <v>80068.894734000001</v>
      </c>
      <c r="G26" s="87">
        <f t="shared" si="0"/>
        <v>178980.34945400001</v>
      </c>
      <c r="H26" s="200"/>
      <c r="I26" s="80"/>
      <c r="J26" s="80">
        <f t="shared" si="1"/>
        <v>0</v>
      </c>
      <c r="M26" t="s">
        <v>314</v>
      </c>
      <c r="N26">
        <v>52503.996478000001</v>
      </c>
      <c r="P26" t="s">
        <v>181</v>
      </c>
      <c r="Q26" s="176">
        <v>718262.84227899997</v>
      </c>
    </row>
    <row r="27" spans="3:17" x14ac:dyDescent="0.2">
      <c r="C27" s="52" t="s">
        <v>314</v>
      </c>
      <c r="D27" s="53">
        <f t="shared" si="2"/>
        <v>74936.465918000002</v>
      </c>
      <c r="E27" s="89">
        <v>41123.194699999993</v>
      </c>
      <c r="F27" s="90">
        <v>33813.271218000002</v>
      </c>
      <c r="G27" s="90">
        <f t="shared" si="0"/>
        <v>74936.465918000002</v>
      </c>
      <c r="H27" s="91"/>
      <c r="I27" s="81"/>
      <c r="J27" s="81">
        <f t="shared" si="1"/>
        <v>0</v>
      </c>
      <c r="M27" t="s">
        <v>246</v>
      </c>
      <c r="N27">
        <v>1560110.8214669998</v>
      </c>
      <c r="P27" t="s">
        <v>283</v>
      </c>
      <c r="Q27" s="176">
        <v>615180.55891699996</v>
      </c>
    </row>
    <row r="28" spans="3:17" x14ac:dyDescent="0.2">
      <c r="C28" t="s">
        <v>246</v>
      </c>
      <c r="D28" s="48">
        <f t="shared" si="2"/>
        <v>3131668.24554</v>
      </c>
      <c r="E28" s="86">
        <v>2278227.97254</v>
      </c>
      <c r="F28" s="87">
        <v>853440.27299999993</v>
      </c>
      <c r="G28" s="87">
        <f t="shared" si="0"/>
        <v>3131668.24554</v>
      </c>
      <c r="H28" s="200"/>
      <c r="I28" s="80"/>
      <c r="J28" s="80">
        <f t="shared" si="1"/>
        <v>0</v>
      </c>
      <c r="M28" t="s">
        <v>271</v>
      </c>
      <c r="N28">
        <v>61996.117205999995</v>
      </c>
      <c r="P28" t="s">
        <v>31</v>
      </c>
      <c r="Q28" s="176">
        <v>576374.78508100007</v>
      </c>
    </row>
    <row r="29" spans="3:17" x14ac:dyDescent="0.2">
      <c r="C29" s="52" t="s">
        <v>271</v>
      </c>
      <c r="D29" s="53">
        <f t="shared" si="2"/>
        <v>85242.080296</v>
      </c>
      <c r="E29" s="89">
        <v>38345.907919999998</v>
      </c>
      <c r="F29" s="90">
        <v>46896.172375999995</v>
      </c>
      <c r="G29" s="90">
        <f t="shared" si="0"/>
        <v>85242.080296</v>
      </c>
      <c r="H29" s="91"/>
      <c r="I29" s="81"/>
      <c r="J29" s="81">
        <f t="shared" si="1"/>
        <v>0</v>
      </c>
      <c r="M29" t="s">
        <v>239</v>
      </c>
      <c r="N29">
        <v>10482.531812000001</v>
      </c>
      <c r="P29" t="s">
        <v>93</v>
      </c>
      <c r="Q29" s="176">
        <v>545754.43442099995</v>
      </c>
    </row>
    <row r="30" spans="3:17" x14ac:dyDescent="0.2">
      <c r="C30" t="s">
        <v>239</v>
      </c>
      <c r="D30" s="48">
        <f t="shared" si="2"/>
        <v>19768.041675</v>
      </c>
      <c r="E30" s="86">
        <v>7295.8605750000006</v>
      </c>
      <c r="F30" s="87">
        <v>12472.1811</v>
      </c>
      <c r="G30" s="87">
        <f t="shared" si="0"/>
        <v>19768.041675</v>
      </c>
      <c r="H30" s="200"/>
      <c r="I30" s="80"/>
      <c r="J30" s="80">
        <f t="shared" si="1"/>
        <v>0</v>
      </c>
      <c r="M30" t="s">
        <v>90</v>
      </c>
      <c r="N30">
        <v>731378.45758499997</v>
      </c>
      <c r="P30" t="s">
        <v>212</v>
      </c>
      <c r="Q30" s="176">
        <v>543471.51670899999</v>
      </c>
    </row>
    <row r="31" spans="3:17" x14ac:dyDescent="0.2">
      <c r="C31" s="52" t="s">
        <v>90</v>
      </c>
      <c r="D31" s="53">
        <f t="shared" si="2"/>
        <v>2002515.0223900001</v>
      </c>
      <c r="E31" s="89">
        <v>1666337.18518</v>
      </c>
      <c r="F31" s="90">
        <v>336177.83721000003</v>
      </c>
      <c r="G31" s="90">
        <f t="shared" si="0"/>
        <v>2002515.0223900001</v>
      </c>
      <c r="H31" s="91"/>
      <c r="I31" s="81"/>
      <c r="J31" s="81">
        <f t="shared" si="1"/>
        <v>0</v>
      </c>
      <c r="M31" t="s">
        <v>236</v>
      </c>
      <c r="N31">
        <v>47127.644460000003</v>
      </c>
      <c r="P31" t="s">
        <v>272</v>
      </c>
      <c r="Q31" s="176">
        <v>542773.61978795007</v>
      </c>
    </row>
    <row r="32" spans="3:17" x14ac:dyDescent="0.2">
      <c r="C32" t="s">
        <v>236</v>
      </c>
      <c r="D32" s="48">
        <f t="shared" si="2"/>
        <v>78845.493564999997</v>
      </c>
      <c r="E32" s="86">
        <v>15226.024728</v>
      </c>
      <c r="F32" s="87">
        <v>63619.468837</v>
      </c>
      <c r="G32" s="87">
        <f t="shared" si="0"/>
        <v>78845.493564999997</v>
      </c>
      <c r="H32" s="200"/>
      <c r="I32" s="80"/>
      <c r="J32" s="80">
        <f t="shared" si="1"/>
        <v>0</v>
      </c>
      <c r="M32" t="s">
        <v>267</v>
      </c>
      <c r="N32">
        <v>507485.20459400001</v>
      </c>
      <c r="P32" t="s">
        <v>279</v>
      </c>
      <c r="Q32" s="176">
        <v>531471.97191399999</v>
      </c>
    </row>
    <row r="33" spans="3:17" x14ac:dyDescent="0.2">
      <c r="C33" s="52" t="s">
        <v>267</v>
      </c>
      <c r="D33" s="53">
        <f t="shared" si="2"/>
        <v>1186547.8878500001</v>
      </c>
      <c r="E33" s="89">
        <v>657603.29059999995</v>
      </c>
      <c r="F33" s="90">
        <v>528944.59724999999</v>
      </c>
      <c r="G33" s="90">
        <f t="shared" si="0"/>
        <v>1186547.8878500001</v>
      </c>
      <c r="H33" s="91"/>
      <c r="I33" s="81"/>
      <c r="J33" s="81">
        <f t="shared" si="1"/>
        <v>0</v>
      </c>
      <c r="M33" t="s">
        <v>255</v>
      </c>
      <c r="N33">
        <v>9381.6588819999997</v>
      </c>
      <c r="P33" t="s">
        <v>267</v>
      </c>
      <c r="Q33" s="176">
        <v>507485.20459400001</v>
      </c>
    </row>
    <row r="34" spans="3:17" x14ac:dyDescent="0.2">
      <c r="C34" t="s">
        <v>255</v>
      </c>
      <c r="D34" s="48">
        <f t="shared" si="2"/>
        <v>11347.22351</v>
      </c>
      <c r="E34" s="86">
        <v>4049.3384959999999</v>
      </c>
      <c r="F34" s="87">
        <v>7297.8850139999995</v>
      </c>
      <c r="G34" s="87">
        <f t="shared" si="0"/>
        <v>11347.22351</v>
      </c>
      <c r="H34" s="200"/>
      <c r="I34" s="80"/>
      <c r="J34" s="80">
        <f t="shared" si="1"/>
        <v>0</v>
      </c>
      <c r="M34" t="s">
        <v>148</v>
      </c>
      <c r="N34">
        <v>10927.142400000001</v>
      </c>
      <c r="P34" t="s">
        <v>58</v>
      </c>
      <c r="Q34" s="176">
        <v>503925.09897200001</v>
      </c>
    </row>
    <row r="35" spans="3:17" x14ac:dyDescent="0.2">
      <c r="C35" s="52" t="s">
        <v>148</v>
      </c>
      <c r="D35" s="53">
        <f t="shared" si="2"/>
        <v>17951.416660000003</v>
      </c>
      <c r="E35" s="89">
        <v>11050.216485000001</v>
      </c>
      <c r="F35" s="90">
        <v>6901.2001749999999</v>
      </c>
      <c r="G35" s="90">
        <f t="shared" si="0"/>
        <v>17951.416660000003</v>
      </c>
      <c r="H35" s="91"/>
      <c r="I35" s="81"/>
      <c r="J35" s="81">
        <f t="shared" si="1"/>
        <v>0</v>
      </c>
      <c r="M35" t="s">
        <v>201</v>
      </c>
      <c r="N35">
        <v>1425.196265</v>
      </c>
      <c r="P35" t="s">
        <v>313</v>
      </c>
      <c r="Q35" s="176">
        <v>487887.48482525005</v>
      </c>
    </row>
    <row r="36" spans="3:17" x14ac:dyDescent="0.2">
      <c r="C36" t="s">
        <v>201</v>
      </c>
      <c r="D36" s="48">
        <f t="shared" si="2"/>
        <v>2214.0432129999999</v>
      </c>
      <c r="E36" s="86">
        <v>1193.104188</v>
      </c>
      <c r="F36" s="87">
        <v>1020.939025</v>
      </c>
      <c r="G36" s="87">
        <f t="shared" si="0"/>
        <v>2214.0432129999999</v>
      </c>
      <c r="H36" s="200"/>
      <c r="I36" s="80"/>
      <c r="J36" s="80">
        <f t="shared" si="1"/>
        <v>0</v>
      </c>
      <c r="M36" t="s">
        <v>206</v>
      </c>
      <c r="N36">
        <v>14006.469856</v>
      </c>
      <c r="P36" t="s">
        <v>289</v>
      </c>
      <c r="Q36" s="176">
        <v>463850.287878</v>
      </c>
    </row>
    <row r="37" spans="3:17" ht="14.25" x14ac:dyDescent="0.2">
      <c r="C37" s="52" t="s">
        <v>206</v>
      </c>
      <c r="D37" s="53">
        <f t="shared" si="2"/>
        <v>44237.718574999999</v>
      </c>
      <c r="E37" s="89">
        <v>23982.809375000001</v>
      </c>
      <c r="F37" s="90">
        <v>20254.909199999998</v>
      </c>
      <c r="G37" s="90">
        <f t="shared" si="0"/>
        <v>44237.718574999999</v>
      </c>
      <c r="H37" s="91"/>
      <c r="I37" s="81"/>
      <c r="J37" s="81">
        <f t="shared" si="1"/>
        <v>0</v>
      </c>
      <c r="M37" t="s">
        <v>409</v>
      </c>
      <c r="N37">
        <v>0</v>
      </c>
      <c r="P37" t="s">
        <v>178</v>
      </c>
      <c r="Q37" s="176">
        <v>335250.30194999999</v>
      </c>
    </row>
    <row r="38" spans="3:17" x14ac:dyDescent="0.2">
      <c r="C38" s="335" t="s">
        <v>100</v>
      </c>
      <c r="D38" s="48">
        <f t="shared" si="2"/>
        <v>524085.25138400006</v>
      </c>
      <c r="E38" s="86">
        <v>402277.98538400006</v>
      </c>
      <c r="F38" s="87">
        <v>121807.26600000002</v>
      </c>
      <c r="G38" s="87">
        <f t="shared" si="0"/>
        <v>524085.25138400006</v>
      </c>
      <c r="H38" s="200"/>
      <c r="I38" s="80"/>
      <c r="J38" s="80">
        <f t="shared" si="1"/>
        <v>0</v>
      </c>
      <c r="M38" t="s">
        <v>136</v>
      </c>
      <c r="N38">
        <v>118196.47686000002</v>
      </c>
      <c r="P38" t="s">
        <v>99</v>
      </c>
      <c r="Q38" s="176">
        <v>296637.40262000007</v>
      </c>
    </row>
    <row r="39" spans="3:17" x14ac:dyDescent="0.2">
      <c r="C39" s="52" t="s">
        <v>136</v>
      </c>
      <c r="D39" s="53">
        <f t="shared" si="2"/>
        <v>269077.740812</v>
      </c>
      <c r="E39" s="89">
        <v>195503.85276200002</v>
      </c>
      <c r="F39" s="90">
        <v>73573.88804999998</v>
      </c>
      <c r="G39" s="90">
        <f t="shared" si="0"/>
        <v>269077.740812</v>
      </c>
      <c r="H39" s="91"/>
      <c r="I39" s="81"/>
      <c r="J39" s="81">
        <f t="shared" si="1"/>
        <v>0</v>
      </c>
      <c r="M39" t="s">
        <v>184</v>
      </c>
      <c r="N39">
        <v>2998.5385529999999</v>
      </c>
      <c r="P39" t="s">
        <v>183</v>
      </c>
      <c r="Q39" s="176">
        <v>295577.203645</v>
      </c>
    </row>
    <row r="40" spans="3:17" x14ac:dyDescent="0.2">
      <c r="C40" t="s">
        <v>184</v>
      </c>
      <c r="D40" s="48">
        <f t="shared" si="2"/>
        <v>4578.3394269999999</v>
      </c>
      <c r="E40" s="86">
        <v>2153.3238509999996</v>
      </c>
      <c r="F40" s="87">
        <v>2425.0155760000002</v>
      </c>
      <c r="G40" s="87">
        <f t="shared" si="0"/>
        <v>4578.3394269999999</v>
      </c>
      <c r="H40" s="200"/>
      <c r="I40" s="80"/>
      <c r="J40" s="80">
        <f t="shared" si="1"/>
        <v>0</v>
      </c>
      <c r="M40" t="s">
        <v>230</v>
      </c>
      <c r="N40">
        <v>1687.4987190000002</v>
      </c>
      <c r="P40" t="s">
        <v>190</v>
      </c>
      <c r="Q40" s="176">
        <v>294119.82582749997</v>
      </c>
    </row>
    <row r="41" spans="3:17" x14ac:dyDescent="0.2">
      <c r="C41" s="52" t="s">
        <v>230</v>
      </c>
      <c r="D41" s="53">
        <f t="shared" si="2"/>
        <v>5665.6271670000006</v>
      </c>
      <c r="E41" s="89">
        <v>853.649271</v>
      </c>
      <c r="F41" s="90">
        <v>4811.9778960000003</v>
      </c>
      <c r="G41" s="90">
        <f t="shared" si="0"/>
        <v>5665.6271670000006</v>
      </c>
      <c r="H41" s="91"/>
      <c r="I41" s="81"/>
      <c r="J41" s="81">
        <f t="shared" si="1"/>
        <v>0</v>
      </c>
      <c r="M41" t="s">
        <v>93</v>
      </c>
      <c r="N41">
        <v>545754.43442099995</v>
      </c>
      <c r="P41" t="s">
        <v>179</v>
      </c>
      <c r="Q41" s="176">
        <v>291441.016489</v>
      </c>
    </row>
    <row r="42" spans="3:17" x14ac:dyDescent="0.2">
      <c r="C42" t="s">
        <v>93</v>
      </c>
      <c r="D42" s="48">
        <f t="shared" si="2"/>
        <v>1012495.3298279999</v>
      </c>
      <c r="E42" s="86">
        <v>423605.70300000004</v>
      </c>
      <c r="F42" s="87">
        <v>588889.62682799995</v>
      </c>
      <c r="G42" s="87">
        <f t="shared" si="0"/>
        <v>1012495.3298279999</v>
      </c>
      <c r="H42" s="200"/>
      <c r="I42" s="210"/>
      <c r="J42" s="80">
        <f t="shared" si="1"/>
        <v>0</v>
      </c>
      <c r="M42" t="s">
        <v>210</v>
      </c>
      <c r="N42">
        <v>22743.448711999998</v>
      </c>
      <c r="P42" t="s">
        <v>97</v>
      </c>
      <c r="Q42" s="176">
        <v>285328.94633499999</v>
      </c>
    </row>
    <row r="43" spans="3:17" x14ac:dyDescent="0.2">
      <c r="C43" s="52" t="s">
        <v>210</v>
      </c>
      <c r="D43" s="53">
        <f t="shared" si="2"/>
        <v>76299.329670000006</v>
      </c>
      <c r="E43" s="89">
        <v>17439.732170000003</v>
      </c>
      <c r="F43" s="90">
        <v>58859.597500000003</v>
      </c>
      <c r="G43" s="90">
        <f t="shared" si="0"/>
        <v>76299.329670000006</v>
      </c>
      <c r="H43" s="89"/>
      <c r="I43" s="90"/>
      <c r="J43" s="90">
        <f t="shared" si="1"/>
        <v>0</v>
      </c>
      <c r="M43" t="s">
        <v>190</v>
      </c>
      <c r="N43">
        <v>294119.82582749997</v>
      </c>
      <c r="P43" t="s">
        <v>232</v>
      </c>
      <c r="Q43" s="176">
        <v>265008.98653699999</v>
      </c>
    </row>
    <row r="44" spans="3:17" x14ac:dyDescent="0.2">
      <c r="C44" t="s">
        <v>190</v>
      </c>
      <c r="D44" s="48">
        <f t="shared" si="2"/>
        <v>261869.38170300002</v>
      </c>
      <c r="E44" s="86">
        <v>131559.985503</v>
      </c>
      <c r="F44" s="87">
        <v>96829.584300000002</v>
      </c>
      <c r="G44" s="87">
        <f t="shared" si="0"/>
        <v>228389.56980300002</v>
      </c>
      <c r="H44" s="86">
        <v>27845.265600000002</v>
      </c>
      <c r="I44" s="87">
        <v>5634.5463000000009</v>
      </c>
      <c r="J44" s="87">
        <f t="shared" si="1"/>
        <v>33479.811900000001</v>
      </c>
      <c r="M44" t="s">
        <v>276</v>
      </c>
      <c r="N44">
        <v>1633657.288464</v>
      </c>
      <c r="P44" t="s">
        <v>127</v>
      </c>
      <c r="Q44" s="176">
        <v>202940.36170799998</v>
      </c>
    </row>
    <row r="45" spans="3:17" x14ac:dyDescent="0.2">
      <c r="C45" s="52" t="s">
        <v>276</v>
      </c>
      <c r="D45" s="53">
        <f t="shared" si="2"/>
        <v>2162529.649276</v>
      </c>
      <c r="E45" s="89">
        <v>1265529.594576</v>
      </c>
      <c r="F45" s="90">
        <v>891453.42117500002</v>
      </c>
      <c r="G45" s="90">
        <f t="shared" si="0"/>
        <v>2156983.015751</v>
      </c>
      <c r="H45" s="91">
        <v>4486.3031000000001</v>
      </c>
      <c r="I45" s="81">
        <v>1060.3304250000001</v>
      </c>
      <c r="J45" s="81">
        <f t="shared" si="1"/>
        <v>5546.6335250000002</v>
      </c>
      <c r="M45" t="s">
        <v>191</v>
      </c>
      <c r="N45">
        <v>1224.9314750000001</v>
      </c>
      <c r="P45" t="s">
        <v>188</v>
      </c>
      <c r="Q45" s="176">
        <v>182845.28207399999</v>
      </c>
    </row>
    <row r="46" spans="3:17" x14ac:dyDescent="0.2">
      <c r="C46" t="s">
        <v>191</v>
      </c>
      <c r="D46" s="48">
        <f t="shared" si="2"/>
        <v>2039.5336540000001</v>
      </c>
      <c r="E46" s="86">
        <v>1162.1872290000001</v>
      </c>
      <c r="F46" s="87">
        <v>877.34642499999995</v>
      </c>
      <c r="G46" s="87">
        <f t="shared" si="0"/>
        <v>2039.5336540000001</v>
      </c>
      <c r="H46" s="200"/>
      <c r="I46" s="80"/>
      <c r="J46" s="80">
        <f t="shared" si="1"/>
        <v>0</v>
      </c>
      <c r="M46" t="s">
        <v>260</v>
      </c>
      <c r="N46">
        <v>3566.263567</v>
      </c>
      <c r="P46" t="s">
        <v>311</v>
      </c>
      <c r="Q46" s="176">
        <v>167424.14351000002</v>
      </c>
    </row>
    <row r="47" spans="3:17" x14ac:dyDescent="0.2">
      <c r="C47" s="52" t="s">
        <v>260</v>
      </c>
      <c r="D47" s="53">
        <f t="shared" si="2"/>
        <v>5117.6975000000002</v>
      </c>
      <c r="E47" s="89">
        <v>1959.9135000000003</v>
      </c>
      <c r="F47" s="90">
        <v>3157.7840000000001</v>
      </c>
      <c r="G47" s="90">
        <f t="shared" si="0"/>
        <v>5117.6975000000002</v>
      </c>
      <c r="H47" s="91"/>
      <c r="I47" s="81"/>
      <c r="J47" s="81">
        <f t="shared" si="1"/>
        <v>0</v>
      </c>
      <c r="M47" t="s">
        <v>274</v>
      </c>
      <c r="N47">
        <v>18081.969799999999</v>
      </c>
      <c r="P47" t="s">
        <v>186</v>
      </c>
      <c r="Q47" s="176">
        <v>164475.06682800001</v>
      </c>
    </row>
    <row r="48" spans="3:17" x14ac:dyDescent="0.2">
      <c r="C48" t="s">
        <v>274</v>
      </c>
      <c r="D48" s="48">
        <f t="shared" si="2"/>
        <v>29152.724784000002</v>
      </c>
      <c r="E48" s="86">
        <v>14102.623536000001</v>
      </c>
      <c r="F48" s="87">
        <v>15050.101248000001</v>
      </c>
      <c r="G48" s="87">
        <f t="shared" si="0"/>
        <v>29152.724784000002</v>
      </c>
      <c r="H48" s="200"/>
      <c r="I48" s="80"/>
      <c r="J48" s="80">
        <f t="shared" si="1"/>
        <v>0</v>
      </c>
      <c r="M48" t="s">
        <v>278</v>
      </c>
      <c r="N48">
        <v>2157650.1409700001</v>
      </c>
      <c r="P48" t="s">
        <v>124</v>
      </c>
      <c r="Q48" s="176">
        <v>153671.66898700001</v>
      </c>
    </row>
    <row r="49" spans="3:17" x14ac:dyDescent="0.2">
      <c r="C49" s="52" t="s">
        <v>278</v>
      </c>
      <c r="D49" s="53">
        <f t="shared" si="2"/>
        <v>2548814.2828720002</v>
      </c>
      <c r="E49" s="89">
        <v>1422002.3614720001</v>
      </c>
      <c r="F49" s="90">
        <v>1126811.9214000001</v>
      </c>
      <c r="G49" s="90">
        <f t="shared" si="0"/>
        <v>2548814.2828720002</v>
      </c>
      <c r="H49" s="91"/>
      <c r="I49" s="81"/>
      <c r="J49" s="81">
        <f t="shared" si="1"/>
        <v>0</v>
      </c>
      <c r="M49" t="s">
        <v>257</v>
      </c>
      <c r="N49">
        <v>3296.2095860000004</v>
      </c>
      <c r="P49" t="s">
        <v>280</v>
      </c>
      <c r="Q49" s="176">
        <v>134159.66288000002</v>
      </c>
    </row>
    <row r="50" spans="3:17" x14ac:dyDescent="0.2">
      <c r="C50" t="s">
        <v>257</v>
      </c>
      <c r="D50" s="48">
        <f t="shared" si="2"/>
        <v>4679.2665579999993</v>
      </c>
      <c r="E50" s="86">
        <v>3648.6662079999996</v>
      </c>
      <c r="F50" s="87">
        <v>1030.6003499999999</v>
      </c>
      <c r="G50" s="87">
        <f t="shared" si="0"/>
        <v>4679.2665579999993</v>
      </c>
      <c r="H50" s="200"/>
      <c r="I50" s="80"/>
      <c r="J50" s="80">
        <f t="shared" si="1"/>
        <v>0</v>
      </c>
      <c r="M50" t="s">
        <v>181</v>
      </c>
      <c r="N50">
        <v>718262.84227899997</v>
      </c>
      <c r="P50" t="s">
        <v>111</v>
      </c>
      <c r="Q50" s="176">
        <v>125867.75503</v>
      </c>
    </row>
    <row r="51" spans="3:17" x14ac:dyDescent="0.2">
      <c r="C51" s="52" t="s">
        <v>181</v>
      </c>
      <c r="D51" s="53">
        <f t="shared" si="2"/>
        <v>611792.91780499998</v>
      </c>
      <c r="E51" s="89">
        <v>349212.49082499999</v>
      </c>
      <c r="F51" s="90">
        <v>262580.42697999999</v>
      </c>
      <c r="G51" s="90">
        <f t="shared" si="0"/>
        <v>611792.91780499998</v>
      </c>
      <c r="H51" s="91"/>
      <c r="I51" s="213"/>
      <c r="J51" s="81">
        <f t="shared" si="1"/>
        <v>0</v>
      </c>
      <c r="M51" t="s">
        <v>263</v>
      </c>
      <c r="N51">
        <v>2961.2055780000001</v>
      </c>
      <c r="P51" t="s">
        <v>253</v>
      </c>
      <c r="Q51" s="176">
        <v>121538.72240999999</v>
      </c>
    </row>
    <row r="52" spans="3:17" x14ac:dyDescent="0.2">
      <c r="C52" t="s">
        <v>263</v>
      </c>
      <c r="D52" s="48">
        <f t="shared" si="2"/>
        <v>5905.5681050000003</v>
      </c>
      <c r="E52" s="86">
        <v>931.56105500000001</v>
      </c>
      <c r="F52" s="87">
        <v>4974.0070500000002</v>
      </c>
      <c r="G52" s="87">
        <f t="shared" si="0"/>
        <v>5905.5681050000003</v>
      </c>
      <c r="H52" s="200"/>
      <c r="I52" s="210"/>
      <c r="J52" s="80">
        <f t="shared" si="1"/>
        <v>0</v>
      </c>
      <c r="M52" t="s">
        <v>144</v>
      </c>
      <c r="N52">
        <v>9087.8563959999992</v>
      </c>
      <c r="P52" t="s">
        <v>136</v>
      </c>
      <c r="Q52" s="176">
        <v>118196.47686000002</v>
      </c>
    </row>
    <row r="53" spans="3:17" x14ac:dyDescent="0.2">
      <c r="C53" s="52" t="s">
        <v>144</v>
      </c>
      <c r="D53" s="53">
        <f t="shared" si="2"/>
        <v>15064.372297</v>
      </c>
      <c r="E53" s="89">
        <v>9964.2962719999996</v>
      </c>
      <c r="F53" s="90">
        <v>5100.0760250000003</v>
      </c>
      <c r="G53" s="90">
        <f t="shared" si="0"/>
        <v>15064.372297</v>
      </c>
      <c r="H53" s="91"/>
      <c r="I53" s="213"/>
      <c r="J53" s="81">
        <f t="shared" si="1"/>
        <v>0</v>
      </c>
      <c r="M53" t="s">
        <v>292</v>
      </c>
      <c r="N53">
        <v>63597.433610000007</v>
      </c>
      <c r="P53" t="s">
        <v>166</v>
      </c>
      <c r="Q53" s="176">
        <v>98731.581900000005</v>
      </c>
    </row>
    <row r="54" spans="3:17" x14ac:dyDescent="0.2">
      <c r="C54" t="s">
        <v>292</v>
      </c>
      <c r="D54" s="48">
        <f t="shared" si="2"/>
        <v>124317.34608000002</v>
      </c>
      <c r="E54" s="86">
        <v>57912.75508000001</v>
      </c>
      <c r="F54" s="87">
        <v>66404.591</v>
      </c>
      <c r="G54" s="87">
        <f t="shared" si="0"/>
        <v>124317.34608000002</v>
      </c>
      <c r="H54" s="86"/>
      <c r="I54" s="87"/>
      <c r="J54" s="87">
        <f t="shared" si="1"/>
        <v>0</v>
      </c>
      <c r="M54" t="s">
        <v>193</v>
      </c>
      <c r="N54">
        <v>2457328.0183717501</v>
      </c>
      <c r="P54" t="s">
        <v>199</v>
      </c>
      <c r="Q54" s="176">
        <v>92177.040716999996</v>
      </c>
    </row>
    <row r="55" spans="3:17" x14ac:dyDescent="0.2">
      <c r="C55" s="52" t="s">
        <v>193</v>
      </c>
      <c r="D55" s="53">
        <f t="shared" si="2"/>
        <v>3781209.2979049999</v>
      </c>
      <c r="E55" s="89">
        <v>1692160.0181700001</v>
      </c>
      <c r="F55" s="90">
        <v>1480920.5431349999</v>
      </c>
      <c r="G55" s="90">
        <f t="shared" si="0"/>
        <v>3173080.561305</v>
      </c>
      <c r="H55" s="91">
        <v>494326.70682999998</v>
      </c>
      <c r="I55" s="213">
        <v>113802.02976999999</v>
      </c>
      <c r="J55" s="81">
        <f t="shared" si="1"/>
        <v>608128.73659999995</v>
      </c>
      <c r="M55" t="s">
        <v>78</v>
      </c>
      <c r="N55">
        <v>12803.046030000001</v>
      </c>
      <c r="P55" t="s">
        <v>175</v>
      </c>
      <c r="Q55" s="176">
        <v>90599.731006999995</v>
      </c>
    </row>
    <row r="56" spans="3:17" x14ac:dyDescent="0.2">
      <c r="C56" t="s">
        <v>78</v>
      </c>
      <c r="D56" s="48">
        <f t="shared" si="2"/>
        <v>5085.4185180000004</v>
      </c>
      <c r="E56" s="86">
        <v>3619.9003680000001</v>
      </c>
      <c r="F56" s="87">
        <v>1465.5181500000001</v>
      </c>
      <c r="G56" s="87">
        <f t="shared" si="0"/>
        <v>5085.4185180000004</v>
      </c>
      <c r="H56" s="200"/>
      <c r="I56" s="210"/>
      <c r="J56" s="80">
        <f t="shared" si="1"/>
        <v>0</v>
      </c>
      <c r="M56" t="s">
        <v>105</v>
      </c>
      <c r="N56">
        <v>2957.5661099999998</v>
      </c>
      <c r="P56" t="s">
        <v>155</v>
      </c>
      <c r="Q56" s="176">
        <v>76208.352286000008</v>
      </c>
    </row>
    <row r="57" spans="3:17" ht="14.25" x14ac:dyDescent="0.2">
      <c r="C57" s="52" t="s">
        <v>105</v>
      </c>
      <c r="D57" s="53">
        <f t="shared" si="2"/>
        <v>7614.7100769999997</v>
      </c>
      <c r="E57" s="89">
        <v>3146.2056769999995</v>
      </c>
      <c r="F57" s="90">
        <v>4468.5043999999998</v>
      </c>
      <c r="G57" s="90">
        <f t="shared" si="0"/>
        <v>7614.7100769999997</v>
      </c>
      <c r="H57" s="91"/>
      <c r="I57" s="213"/>
      <c r="J57" s="81">
        <f t="shared" si="1"/>
        <v>0</v>
      </c>
      <c r="M57" t="s">
        <v>411</v>
      </c>
      <c r="N57">
        <v>12129.822922000001</v>
      </c>
      <c r="P57" t="s">
        <v>220</v>
      </c>
      <c r="Q57" s="176">
        <v>75846.993787000014</v>
      </c>
    </row>
    <row r="58" spans="3:17" x14ac:dyDescent="0.2">
      <c r="C58" s="335" t="s">
        <v>103</v>
      </c>
      <c r="D58" s="48">
        <f t="shared" si="2"/>
        <v>58478.185161000001</v>
      </c>
      <c r="E58" s="86">
        <v>50957.712036000004</v>
      </c>
      <c r="F58" s="87">
        <v>7520.4731249999995</v>
      </c>
      <c r="G58" s="87">
        <f t="shared" si="0"/>
        <v>58478.185161000001</v>
      </c>
      <c r="H58" s="86"/>
      <c r="I58" s="87"/>
      <c r="J58" s="87">
        <f t="shared" si="1"/>
        <v>0</v>
      </c>
      <c r="M58" t="s">
        <v>199</v>
      </c>
      <c r="N58">
        <v>92177.040716999996</v>
      </c>
      <c r="P58" t="s">
        <v>284</v>
      </c>
      <c r="Q58" s="176">
        <v>66662.072251999998</v>
      </c>
    </row>
    <row r="59" spans="3:17" x14ac:dyDescent="0.2">
      <c r="C59" s="52" t="s">
        <v>199</v>
      </c>
      <c r="D59" s="53">
        <f t="shared" si="2"/>
        <v>207751.34674800001</v>
      </c>
      <c r="E59" s="89">
        <v>77862.134447999997</v>
      </c>
      <c r="F59" s="90">
        <v>124714.56870000002</v>
      </c>
      <c r="G59" s="90">
        <f t="shared" si="0"/>
        <v>202576.703148</v>
      </c>
      <c r="H59" s="91">
        <v>4234.7263499999999</v>
      </c>
      <c r="I59" s="213">
        <v>939.91724999999997</v>
      </c>
      <c r="J59" s="81">
        <f>SUM(H59:I59)</f>
        <v>5174.6435999999994</v>
      </c>
      <c r="M59" t="s">
        <v>240</v>
      </c>
      <c r="N59">
        <v>42794.494310000002</v>
      </c>
      <c r="P59" t="s">
        <v>292</v>
      </c>
      <c r="Q59" s="176">
        <v>63597.433610000007</v>
      </c>
    </row>
    <row r="60" spans="3:17" x14ac:dyDescent="0.2">
      <c r="C60" s="335" t="s">
        <v>240</v>
      </c>
      <c r="D60" s="48">
        <f t="shared" si="2"/>
        <v>57339.843924000001</v>
      </c>
      <c r="E60" s="86">
        <v>24288.980273999998</v>
      </c>
      <c r="F60" s="87">
        <v>33050.863649999999</v>
      </c>
      <c r="G60" s="87">
        <f t="shared" si="0"/>
        <v>57339.843924000001</v>
      </c>
      <c r="H60" s="86"/>
      <c r="I60" s="87"/>
      <c r="J60" s="87">
        <f t="shared" si="1"/>
        <v>0</v>
      </c>
    </row>
    <row r="61" spans="3:17" x14ac:dyDescent="0.2">
      <c r="C61" s="52" t="s">
        <v>538</v>
      </c>
      <c r="D61" s="53"/>
      <c r="E61" s="89">
        <v>0</v>
      </c>
      <c r="F61" s="90">
        <v>0</v>
      </c>
      <c r="G61" s="90"/>
      <c r="H61" s="91"/>
      <c r="I61" s="213"/>
      <c r="J61" s="81"/>
    </row>
    <row r="62" spans="3:17" ht="13.5" thickBot="1" x14ac:dyDescent="0.25">
      <c r="C62" s="47" t="s">
        <v>153</v>
      </c>
      <c r="D62" s="233">
        <f t="shared" si="2"/>
        <v>7148.8199809999996</v>
      </c>
      <c r="E62" s="242">
        <v>4106.7043059999996</v>
      </c>
      <c r="F62" s="239">
        <v>3042.115675</v>
      </c>
      <c r="G62" s="243">
        <f t="shared" si="0"/>
        <v>7148.8199809999996</v>
      </c>
      <c r="H62" s="240"/>
      <c r="I62" s="241"/>
      <c r="J62" s="241">
        <f t="shared" si="1"/>
        <v>0</v>
      </c>
      <c r="M62" t="s">
        <v>153</v>
      </c>
      <c r="N62">
        <v>2745.963096</v>
      </c>
      <c r="P62" t="s">
        <v>271</v>
      </c>
      <c r="Q62" s="176">
        <v>61996.117205999995</v>
      </c>
    </row>
    <row r="63" spans="3:17" x14ac:dyDescent="0.2">
      <c r="C63" s="6" t="s">
        <v>412</v>
      </c>
      <c r="M63" t="s">
        <v>281</v>
      </c>
      <c r="N63">
        <v>8901280.7474450003</v>
      </c>
      <c r="P63" t="s">
        <v>203</v>
      </c>
      <c r="Q63" s="176">
        <v>61444.972392000003</v>
      </c>
    </row>
    <row r="64" spans="3:17" ht="41.25" customHeight="1" x14ac:dyDescent="0.2">
      <c r="C64" s="611" t="s">
        <v>524</v>
      </c>
      <c r="D64" s="611"/>
      <c r="E64" s="611"/>
      <c r="F64" s="611"/>
      <c r="G64" s="611"/>
      <c r="H64" s="611"/>
      <c r="I64" s="611"/>
      <c r="J64" s="611"/>
      <c r="M64" t="s">
        <v>299</v>
      </c>
      <c r="N64">
        <v>1347001.8373170001</v>
      </c>
      <c r="P64" t="s">
        <v>225</v>
      </c>
      <c r="Q64" s="176">
        <v>60515.210261999993</v>
      </c>
    </row>
    <row r="65" spans="3:17" x14ac:dyDescent="0.2">
      <c r="M65" t="s">
        <v>111</v>
      </c>
      <c r="N65">
        <v>125867.75503</v>
      </c>
      <c r="P65" t="s">
        <v>314</v>
      </c>
      <c r="Q65" s="176">
        <v>52503.996478000001</v>
      </c>
    </row>
    <row r="66" spans="3:17" x14ac:dyDescent="0.2">
      <c r="C66" s="609">
        <f>'Table 20 part 2'!C64:J64+1</f>
        <v>24</v>
      </c>
      <c r="D66" s="609"/>
      <c r="E66" s="609"/>
      <c r="F66" s="609"/>
      <c r="G66" s="609"/>
      <c r="H66" s="609"/>
      <c r="I66" s="609"/>
      <c r="J66" s="609"/>
      <c r="M66" t="s">
        <v>166</v>
      </c>
      <c r="N66">
        <v>98731.581900000005</v>
      </c>
      <c r="P66" t="s">
        <v>218</v>
      </c>
      <c r="Q66" s="176">
        <v>51651.910986000003</v>
      </c>
    </row>
    <row r="67" spans="3:17" x14ac:dyDescent="0.2">
      <c r="M67" t="s">
        <v>45</v>
      </c>
      <c r="N67">
        <v>2763111.9128700001</v>
      </c>
      <c r="P67" t="s">
        <v>133</v>
      </c>
      <c r="Q67" s="176">
        <v>48313.559700000005</v>
      </c>
    </row>
    <row r="68" spans="3:17" x14ac:dyDescent="0.2">
      <c r="M68" t="s">
        <v>277</v>
      </c>
      <c r="N68">
        <v>2190433.74021</v>
      </c>
      <c r="P68" t="s">
        <v>236</v>
      </c>
      <c r="Q68" s="176">
        <v>47127.644460000003</v>
      </c>
    </row>
    <row r="69" spans="3:17" ht="14.25" x14ac:dyDescent="0.2">
      <c r="M69" t="s">
        <v>410</v>
      </c>
      <c r="N69">
        <v>0</v>
      </c>
      <c r="P69" t="s">
        <v>235</v>
      </c>
      <c r="Q69" s="176">
        <v>44066.481979000004</v>
      </c>
    </row>
    <row r="70" spans="3:17" hidden="1" x14ac:dyDescent="0.2">
      <c r="D70" s="48">
        <f>SUM(D9:D62)</f>
        <v>132941246.87457</v>
      </c>
      <c r="E70" s="48">
        <f t="shared" ref="E70:J70" si="3">SUM(E9:E62)</f>
        <v>97584224.251079038</v>
      </c>
      <c r="F70" s="48">
        <f t="shared" si="3"/>
        <v>34666678.567763008</v>
      </c>
      <c r="G70" s="48">
        <f t="shared" si="3"/>
        <v>132250902.81884201</v>
      </c>
      <c r="H70" s="48">
        <f t="shared" si="3"/>
        <v>562215.02781200001</v>
      </c>
      <c r="I70" s="48">
        <f t="shared" si="3"/>
        <v>128129.02791599999</v>
      </c>
      <c r="J70" s="48">
        <f t="shared" si="3"/>
        <v>690344.05572799989</v>
      </c>
      <c r="M70" t="s">
        <v>309</v>
      </c>
      <c r="N70">
        <v>11492.574719</v>
      </c>
      <c r="P70" t="s">
        <v>240</v>
      </c>
      <c r="Q70" s="176">
        <v>42794.494310000002</v>
      </c>
    </row>
    <row r="71" spans="3:17" x14ac:dyDescent="0.2">
      <c r="M71" t="s">
        <v>183</v>
      </c>
      <c r="N71">
        <v>295577.203645</v>
      </c>
      <c r="P71" t="s">
        <v>243</v>
      </c>
      <c r="Q71" s="176">
        <v>27651.583121000003</v>
      </c>
    </row>
    <row r="72" spans="3:17" x14ac:dyDescent="0.2">
      <c r="M72" t="s">
        <v>151</v>
      </c>
      <c r="N72">
        <v>6213.5030040000001</v>
      </c>
      <c r="P72" t="s">
        <v>109</v>
      </c>
      <c r="Q72" s="176">
        <v>25977.475674000001</v>
      </c>
    </row>
    <row r="73" spans="3:17" x14ac:dyDescent="0.2">
      <c r="M73" t="s">
        <v>221</v>
      </c>
      <c r="N73">
        <v>12139.060372</v>
      </c>
      <c r="P73" t="s">
        <v>210</v>
      </c>
      <c r="Q73" s="176">
        <v>22743.448711999998</v>
      </c>
    </row>
    <row r="74" spans="3:17" x14ac:dyDescent="0.2">
      <c r="M74" t="s">
        <v>254</v>
      </c>
      <c r="N74">
        <v>11398.250506</v>
      </c>
      <c r="P74" t="s">
        <v>274</v>
      </c>
      <c r="Q74" s="176">
        <v>18081.969799999999</v>
      </c>
    </row>
    <row r="75" spans="3:17" x14ac:dyDescent="0.2">
      <c r="M75" t="s">
        <v>284</v>
      </c>
      <c r="N75">
        <v>66662.072251999998</v>
      </c>
      <c r="P75" t="s">
        <v>291</v>
      </c>
      <c r="Q75" s="176">
        <v>17983.700349999999</v>
      </c>
    </row>
    <row r="76" spans="3:17" x14ac:dyDescent="0.2">
      <c r="M76" t="s">
        <v>188</v>
      </c>
      <c r="N76">
        <v>182845.28207399999</v>
      </c>
      <c r="P76" t="s">
        <v>244</v>
      </c>
      <c r="Q76" s="176">
        <v>17455.807670000002</v>
      </c>
    </row>
    <row r="77" spans="3:17" x14ac:dyDescent="0.2">
      <c r="M77" t="s">
        <v>220</v>
      </c>
      <c r="N77">
        <v>75846.993787000014</v>
      </c>
      <c r="P77" t="s">
        <v>204</v>
      </c>
      <c r="Q77" s="176">
        <v>17418.725985000001</v>
      </c>
    </row>
    <row r="78" spans="3:17" x14ac:dyDescent="0.2">
      <c r="M78" t="s">
        <v>146</v>
      </c>
      <c r="N78">
        <v>1188.8076570000001</v>
      </c>
      <c r="P78" t="s">
        <v>206</v>
      </c>
      <c r="Q78" s="176">
        <v>14006.469856</v>
      </c>
    </row>
    <row r="79" spans="3:17" x14ac:dyDescent="0.2">
      <c r="M79" t="s">
        <v>225</v>
      </c>
      <c r="N79">
        <v>60515.210261999993</v>
      </c>
      <c r="P79" t="s">
        <v>86</v>
      </c>
      <c r="Q79" s="176">
        <v>13167.531002</v>
      </c>
    </row>
    <row r="80" spans="3:17" x14ac:dyDescent="0.2">
      <c r="M80" t="s">
        <v>307</v>
      </c>
      <c r="N80">
        <v>10862.576883000002</v>
      </c>
      <c r="P80" t="s">
        <v>78</v>
      </c>
      <c r="Q80" s="176">
        <v>12803.046030000001</v>
      </c>
    </row>
    <row r="81" spans="13:17" x14ac:dyDescent="0.2">
      <c r="M81" t="s">
        <v>287</v>
      </c>
      <c r="N81">
        <v>0</v>
      </c>
      <c r="P81" t="s">
        <v>250</v>
      </c>
      <c r="Q81" s="176">
        <v>12218.556350000001</v>
      </c>
    </row>
    <row r="82" spans="13:17" x14ac:dyDescent="0.2">
      <c r="M82" t="s">
        <v>178</v>
      </c>
      <c r="N82">
        <v>335250.30194999999</v>
      </c>
      <c r="P82" t="s">
        <v>221</v>
      </c>
      <c r="Q82" s="176">
        <v>12139.060372</v>
      </c>
    </row>
    <row r="83" spans="13:17" ht="14.25" x14ac:dyDescent="0.2">
      <c r="M83" t="s">
        <v>175</v>
      </c>
      <c r="N83">
        <v>90599.731006999995</v>
      </c>
      <c r="P83" t="s">
        <v>411</v>
      </c>
      <c r="Q83" s="176">
        <v>12129.822922000001</v>
      </c>
    </row>
    <row r="84" spans="13:17" x14ac:dyDescent="0.2">
      <c r="M84" t="s">
        <v>212</v>
      </c>
      <c r="N84">
        <v>543471.51670899999</v>
      </c>
      <c r="P84" t="s">
        <v>118</v>
      </c>
      <c r="Q84" s="176">
        <v>11587.358204</v>
      </c>
    </row>
    <row r="85" spans="13:17" x14ac:dyDescent="0.2">
      <c r="M85" t="s">
        <v>179</v>
      </c>
      <c r="N85">
        <v>291441.016489</v>
      </c>
      <c r="P85" t="s">
        <v>309</v>
      </c>
      <c r="Q85" s="176">
        <v>11492.574719</v>
      </c>
    </row>
    <row r="86" spans="13:17" x14ac:dyDescent="0.2">
      <c r="M86" t="s">
        <v>118</v>
      </c>
      <c r="N86">
        <v>11587.358204</v>
      </c>
      <c r="P86" t="s">
        <v>254</v>
      </c>
      <c r="Q86" s="176">
        <v>11398.250506</v>
      </c>
    </row>
    <row r="87" spans="13:17" x14ac:dyDescent="0.2">
      <c r="M87" t="s">
        <v>95</v>
      </c>
      <c r="N87">
        <v>11364187.015395999</v>
      </c>
      <c r="P87" t="s">
        <v>148</v>
      </c>
      <c r="Q87" s="176">
        <v>10927.142400000001</v>
      </c>
    </row>
    <row r="88" spans="13:17" x14ac:dyDescent="0.2">
      <c r="M88" t="s">
        <v>138</v>
      </c>
      <c r="N88">
        <v>4260815.087293</v>
      </c>
      <c r="P88" t="s">
        <v>307</v>
      </c>
      <c r="Q88" s="176">
        <v>10862.576883000002</v>
      </c>
    </row>
    <row r="89" spans="13:17" x14ac:dyDescent="0.2">
      <c r="M89" t="s">
        <v>140</v>
      </c>
      <c r="N89">
        <v>2803.5134280000002</v>
      </c>
      <c r="P89" t="s">
        <v>239</v>
      </c>
      <c r="Q89" s="176">
        <v>10482.531812000001</v>
      </c>
    </row>
    <row r="90" spans="13:17" x14ac:dyDescent="0.2">
      <c r="M90" t="s">
        <v>228</v>
      </c>
      <c r="N90">
        <v>2158896.5128279999</v>
      </c>
      <c r="P90" t="s">
        <v>114</v>
      </c>
      <c r="Q90" s="176">
        <v>9999.323617</v>
      </c>
    </row>
    <row r="91" spans="13:17" x14ac:dyDescent="0.2">
      <c r="M91" t="s">
        <v>232</v>
      </c>
      <c r="N91">
        <v>265008.98653699999</v>
      </c>
      <c r="P91" t="s">
        <v>116</v>
      </c>
      <c r="Q91" s="176">
        <v>9660.1766669999997</v>
      </c>
    </row>
    <row r="92" spans="13:17" x14ac:dyDescent="0.2">
      <c r="M92" t="s">
        <v>116</v>
      </c>
      <c r="N92">
        <v>9660.1766669999997</v>
      </c>
      <c r="P92" t="s">
        <v>255</v>
      </c>
      <c r="Q92" s="176">
        <v>9381.6588819999997</v>
      </c>
    </row>
    <row r="93" spans="13:17" x14ac:dyDescent="0.2">
      <c r="M93" t="s">
        <v>244</v>
      </c>
      <c r="N93">
        <v>17455.807670000002</v>
      </c>
      <c r="P93" t="s">
        <v>144</v>
      </c>
      <c r="Q93" s="176">
        <v>9087.8563959999992</v>
      </c>
    </row>
    <row r="94" spans="13:17" x14ac:dyDescent="0.2">
      <c r="M94" t="s">
        <v>114</v>
      </c>
      <c r="N94">
        <v>9999.323617</v>
      </c>
      <c r="P94" t="s">
        <v>130</v>
      </c>
      <c r="Q94" s="176">
        <v>8599.5405599999995</v>
      </c>
    </row>
    <row r="95" spans="13:17" x14ac:dyDescent="0.2">
      <c r="M95" t="s">
        <v>56</v>
      </c>
      <c r="N95">
        <v>5058585.9192990009</v>
      </c>
      <c r="P95" t="s">
        <v>216</v>
      </c>
      <c r="Q95" s="176">
        <v>6813.7080430000005</v>
      </c>
    </row>
    <row r="96" spans="13:17" x14ac:dyDescent="0.2">
      <c r="M96" t="s">
        <v>127</v>
      </c>
      <c r="N96">
        <v>202940.36170799998</v>
      </c>
      <c r="P96" t="s">
        <v>151</v>
      </c>
      <c r="Q96" s="176">
        <v>6213.5030040000001</v>
      </c>
    </row>
    <row r="97" spans="13:17" x14ac:dyDescent="0.2">
      <c r="M97" t="s">
        <v>97</v>
      </c>
      <c r="N97">
        <v>285328.94633499999</v>
      </c>
      <c r="P97" t="s">
        <v>260</v>
      </c>
      <c r="Q97" s="176">
        <v>3566.263567</v>
      </c>
    </row>
    <row r="98" spans="13:17" x14ac:dyDescent="0.2">
      <c r="M98" t="s">
        <v>58</v>
      </c>
      <c r="N98">
        <v>503925.09897200001</v>
      </c>
      <c r="P98" t="s">
        <v>257</v>
      </c>
      <c r="Q98" s="176">
        <v>3296.2095860000004</v>
      </c>
    </row>
    <row r="99" spans="13:17" x14ac:dyDescent="0.2">
      <c r="M99" t="s">
        <v>218</v>
      </c>
      <c r="N99">
        <v>51651.910986000003</v>
      </c>
      <c r="P99" t="s">
        <v>184</v>
      </c>
      <c r="Q99" s="176">
        <v>2998.5385529999999</v>
      </c>
    </row>
    <row r="100" spans="13:17" x14ac:dyDescent="0.2">
      <c r="M100" t="s">
        <v>289</v>
      </c>
      <c r="N100">
        <v>463850.287878</v>
      </c>
      <c r="P100" t="s">
        <v>263</v>
      </c>
      <c r="Q100" s="176">
        <v>2961.2055780000001</v>
      </c>
    </row>
    <row r="101" spans="13:17" x14ac:dyDescent="0.2">
      <c r="M101" t="s">
        <v>124</v>
      </c>
      <c r="N101">
        <v>153671.66898700001</v>
      </c>
      <c r="P101" t="s">
        <v>105</v>
      </c>
      <c r="Q101" s="176">
        <v>2957.5661099999998</v>
      </c>
    </row>
    <row r="102" spans="13:17" x14ac:dyDescent="0.2">
      <c r="M102" t="s">
        <v>59</v>
      </c>
      <c r="N102">
        <v>837097.34525899997</v>
      </c>
      <c r="P102" t="s">
        <v>140</v>
      </c>
      <c r="Q102" s="176">
        <v>2803.5134280000002</v>
      </c>
    </row>
    <row r="103" spans="13:17" x14ac:dyDescent="0.2">
      <c r="M103" t="s">
        <v>186</v>
      </c>
      <c r="N103">
        <v>164475.06682800001</v>
      </c>
      <c r="P103" t="s">
        <v>153</v>
      </c>
      <c r="Q103" s="176">
        <v>2745.963096</v>
      </c>
    </row>
    <row r="104" spans="13:17" x14ac:dyDescent="0.2">
      <c r="M104" t="s">
        <v>204</v>
      </c>
      <c r="N104">
        <v>17418.725985000001</v>
      </c>
      <c r="P104" t="s">
        <v>230</v>
      </c>
      <c r="Q104" s="176">
        <v>1687.4987190000002</v>
      </c>
    </row>
    <row r="105" spans="13:17" x14ac:dyDescent="0.2">
      <c r="M105" t="s">
        <v>250</v>
      </c>
      <c r="N105">
        <v>12218.556350000001</v>
      </c>
      <c r="P105" t="s">
        <v>169</v>
      </c>
      <c r="Q105" s="176">
        <v>1589.7602550000001</v>
      </c>
    </row>
    <row r="106" spans="13:17" x14ac:dyDescent="0.2">
      <c r="M106" t="s">
        <v>86</v>
      </c>
      <c r="N106">
        <v>13167.531002</v>
      </c>
      <c r="P106" t="s">
        <v>201</v>
      </c>
      <c r="Q106" s="176">
        <v>1425.196265</v>
      </c>
    </row>
    <row r="107" spans="13:17" x14ac:dyDescent="0.2">
      <c r="M107" t="s">
        <v>99</v>
      </c>
      <c r="N107">
        <v>296637.40262000007</v>
      </c>
      <c r="P107" t="s">
        <v>195</v>
      </c>
      <c r="Q107" s="176">
        <v>1397.794811</v>
      </c>
    </row>
    <row r="108" spans="13:17" x14ac:dyDescent="0.2">
      <c r="M108" t="s">
        <v>311</v>
      </c>
      <c r="N108">
        <v>167424.14351000002</v>
      </c>
      <c r="P108" t="s">
        <v>191</v>
      </c>
      <c r="Q108" s="176">
        <v>1224.9314750000001</v>
      </c>
    </row>
    <row r="109" spans="13:17" x14ac:dyDescent="0.2">
      <c r="M109" t="s">
        <v>133</v>
      </c>
      <c r="N109">
        <v>48313.559700000005</v>
      </c>
      <c r="P109" t="s">
        <v>146</v>
      </c>
      <c r="Q109" s="176">
        <v>1188.8076570000001</v>
      </c>
    </row>
    <row r="110" spans="13:17" ht="14.25" x14ac:dyDescent="0.2">
      <c r="M110" t="s">
        <v>169</v>
      </c>
      <c r="N110">
        <v>1589.7602550000001</v>
      </c>
      <c r="P110" t="s">
        <v>409</v>
      </c>
      <c r="Q110" s="176">
        <v>0</v>
      </c>
    </row>
    <row r="111" spans="13:17" ht="14.25" x14ac:dyDescent="0.2">
      <c r="M111" t="s">
        <v>291</v>
      </c>
      <c r="N111">
        <v>17983.700349999999</v>
      </c>
      <c r="P111" t="s">
        <v>410</v>
      </c>
      <c r="Q111" s="176">
        <v>0</v>
      </c>
    </row>
    <row r="112" spans="13:17" x14ac:dyDescent="0.2">
      <c r="M112" t="s">
        <v>216</v>
      </c>
      <c r="N112">
        <v>6813.7080430000005</v>
      </c>
      <c r="P112" t="s">
        <v>287</v>
      </c>
      <c r="Q112" s="176">
        <v>0</v>
      </c>
    </row>
    <row r="113" spans="13:14" x14ac:dyDescent="0.2">
      <c r="M113" t="s">
        <v>130</v>
      </c>
      <c r="N113">
        <v>8599.5405599999995</v>
      </c>
    </row>
  </sheetData>
  <mergeCells count="2">
    <mergeCell ref="C64:J64"/>
    <mergeCell ref="C66:J66"/>
  </mergeCells>
  <phoneticPr fontId="38" type="noConversion"/>
  <printOptions horizontalCentered="1" verticalCentered="1"/>
  <pageMargins left="0.75" right="0.75" top="0.75" bottom="0.75" header="0.5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C1:O125"/>
  <sheetViews>
    <sheetView showGridLines="0" showZeros="0" view="pageBreakPreview" topLeftCell="A15" zoomScaleNormal="100" zoomScaleSheetLayoutView="100" workbookViewId="0">
      <selection activeCell="P35" sqref="P35"/>
    </sheetView>
  </sheetViews>
  <sheetFormatPr defaultRowHeight="12.75" x14ac:dyDescent="0.2"/>
  <cols>
    <col min="3" max="3" width="15.42578125" customWidth="1"/>
    <col min="4" max="7" width="13.85546875" customWidth="1"/>
    <col min="8" max="9" width="9.85546875" customWidth="1"/>
    <col min="10" max="10" width="15.7109375" customWidth="1"/>
    <col min="11" max="11" width="5" customWidth="1"/>
    <col min="12" max="12" width="11" bestFit="1" customWidth="1"/>
    <col min="13" max="13" width="12.7109375" customWidth="1"/>
    <col min="14" max="14" width="14.85546875" customWidth="1"/>
    <col min="15" max="15" width="19" style="235" customWidth="1"/>
  </cols>
  <sheetData>
    <row r="1" spans="3:10" ht="15" x14ac:dyDescent="0.25">
      <c r="C1" s="83" t="s">
        <v>443</v>
      </c>
    </row>
    <row r="2" spans="3:10" ht="15" x14ac:dyDescent="0.25">
      <c r="C2" s="74" t="s">
        <v>497</v>
      </c>
      <c r="F2" s="74" t="str">
        <f>'table 1 &amp; 2'!C2</f>
        <v>2022 Tax Year</v>
      </c>
    </row>
    <row r="4" spans="3:10" ht="15.75" x14ac:dyDescent="0.25">
      <c r="C4" s="3" t="s">
        <v>332</v>
      </c>
    </row>
    <row r="5" spans="3:10" ht="15.75" x14ac:dyDescent="0.25">
      <c r="C5" s="3" t="s">
        <v>525</v>
      </c>
      <c r="D5" s="7"/>
      <c r="E5" s="7"/>
      <c r="F5" s="7"/>
      <c r="G5" s="7"/>
      <c r="H5" s="7"/>
      <c r="I5" s="3" t="str">
        <f>F2</f>
        <v>2022 Tax Year</v>
      </c>
      <c r="J5" s="7"/>
    </row>
    <row r="6" spans="3:10" ht="6" customHeight="1" x14ac:dyDescent="0.25">
      <c r="C6" s="3"/>
      <c r="D6" s="7"/>
      <c r="E6" s="7"/>
      <c r="F6" s="7"/>
      <c r="G6" s="7"/>
      <c r="H6" s="7"/>
      <c r="I6" s="7"/>
      <c r="J6" s="7"/>
    </row>
    <row r="7" spans="3:10" x14ac:dyDescent="0.2">
      <c r="C7" s="6"/>
      <c r="D7" s="6"/>
      <c r="E7" s="122"/>
      <c r="G7" s="21"/>
      <c r="H7" s="82" t="s">
        <v>338</v>
      </c>
      <c r="I7" s="6"/>
      <c r="J7" s="6"/>
    </row>
    <row r="8" spans="3:10" ht="13.5" thickBot="1" x14ac:dyDescent="0.25">
      <c r="C8" s="23" t="s">
        <v>75</v>
      </c>
      <c r="D8" s="68" t="s">
        <v>63</v>
      </c>
      <c r="E8" s="25" t="s">
        <v>9</v>
      </c>
      <c r="F8" s="24" t="s">
        <v>28</v>
      </c>
      <c r="G8" s="68" t="s">
        <v>29</v>
      </c>
      <c r="H8" s="25" t="s">
        <v>30</v>
      </c>
      <c r="I8" s="24" t="s">
        <v>10</v>
      </c>
      <c r="J8" s="68" t="s">
        <v>29</v>
      </c>
    </row>
    <row r="9" spans="3:10" x14ac:dyDescent="0.2">
      <c r="C9" s="52" t="s">
        <v>281</v>
      </c>
      <c r="D9" s="53">
        <f>G9+J9</f>
        <v>13655648.981720999</v>
      </c>
      <c r="E9" s="252">
        <v>9815572.7142009996</v>
      </c>
      <c r="F9" s="90">
        <v>3840076.2675199998</v>
      </c>
      <c r="G9" s="90">
        <f>SUM(E9:F9)</f>
        <v>13655648.981720999</v>
      </c>
      <c r="H9" s="91">
        <v>0</v>
      </c>
      <c r="I9" s="81">
        <v>0</v>
      </c>
      <c r="J9" s="90">
        <v>0</v>
      </c>
    </row>
    <row r="10" spans="3:10" x14ac:dyDescent="0.2">
      <c r="C10" t="s">
        <v>299</v>
      </c>
      <c r="D10" s="48">
        <f t="shared" ref="D10:D60" si="0">G10+J10</f>
        <v>1707359.4162680001</v>
      </c>
      <c r="E10" s="86">
        <v>1091021.6750180002</v>
      </c>
      <c r="F10" s="87">
        <v>616337.74124999996</v>
      </c>
      <c r="G10" s="87">
        <f t="shared" ref="G10:G60" si="1">SUM(E10:F10)</f>
        <v>1707359.4162680001</v>
      </c>
      <c r="H10" s="200">
        <v>0</v>
      </c>
      <c r="I10" s="80">
        <v>0</v>
      </c>
      <c r="J10" s="80">
        <v>0</v>
      </c>
    </row>
    <row r="11" spans="3:10" x14ac:dyDescent="0.2">
      <c r="C11" s="52" t="s">
        <v>111</v>
      </c>
      <c r="D11" s="53">
        <f t="shared" si="0"/>
        <v>295111.07038200001</v>
      </c>
      <c r="E11" s="89">
        <v>202137.00674200003</v>
      </c>
      <c r="F11" s="90">
        <v>92974.063639999993</v>
      </c>
      <c r="G11" s="90">
        <f t="shared" si="1"/>
        <v>295111.07038200001</v>
      </c>
      <c r="H11" s="91">
        <v>0</v>
      </c>
      <c r="I11" s="81">
        <v>0</v>
      </c>
      <c r="J11" s="81">
        <v>0</v>
      </c>
    </row>
    <row r="12" spans="3:10" x14ac:dyDescent="0.2">
      <c r="C12" t="s">
        <v>166</v>
      </c>
      <c r="D12" s="48">
        <f t="shared" si="0"/>
        <v>114019.60505699999</v>
      </c>
      <c r="E12" s="86">
        <v>32055.662456999995</v>
      </c>
      <c r="F12" s="87">
        <v>81963.942599999995</v>
      </c>
      <c r="G12" s="87">
        <f t="shared" si="1"/>
        <v>114019.60505699999</v>
      </c>
      <c r="H12" s="200">
        <v>0</v>
      </c>
      <c r="I12" s="80">
        <v>0</v>
      </c>
      <c r="J12" s="80">
        <v>0</v>
      </c>
    </row>
    <row r="13" spans="3:10" x14ac:dyDescent="0.2">
      <c r="C13" s="52" t="s">
        <v>45</v>
      </c>
      <c r="D13" s="53">
        <f t="shared" si="0"/>
        <v>3337815.4579759999</v>
      </c>
      <c r="E13" s="89">
        <v>2885569.8459000001</v>
      </c>
      <c r="F13" s="90">
        <v>452245.61207600002</v>
      </c>
      <c r="G13" s="90">
        <f t="shared" si="1"/>
        <v>3337815.4579759999</v>
      </c>
      <c r="H13" s="91">
        <v>0</v>
      </c>
      <c r="I13" s="81">
        <v>0</v>
      </c>
      <c r="J13" s="81">
        <v>0</v>
      </c>
    </row>
    <row r="14" spans="3:10" x14ac:dyDescent="0.2">
      <c r="C14" t="s">
        <v>277</v>
      </c>
      <c r="D14" s="48">
        <f t="shared" si="0"/>
        <v>3641888.1780000003</v>
      </c>
      <c r="E14" s="86">
        <v>2628699.37335</v>
      </c>
      <c r="F14" s="87">
        <v>1013188.8046500001</v>
      </c>
      <c r="G14" s="87">
        <f t="shared" si="1"/>
        <v>3641888.1780000003</v>
      </c>
      <c r="H14" s="200">
        <v>0</v>
      </c>
      <c r="I14" s="80">
        <v>0</v>
      </c>
      <c r="J14" s="80">
        <v>0</v>
      </c>
    </row>
    <row r="15" spans="3:10" x14ac:dyDescent="0.2">
      <c r="C15" s="347" t="s">
        <v>449</v>
      </c>
      <c r="D15" s="53"/>
      <c r="E15" s="89">
        <v>0</v>
      </c>
      <c r="F15" s="90">
        <v>0</v>
      </c>
      <c r="G15" s="90">
        <f t="shared" si="1"/>
        <v>0</v>
      </c>
      <c r="H15" s="91">
        <v>0</v>
      </c>
      <c r="I15" s="81">
        <v>0</v>
      </c>
      <c r="J15" s="81">
        <v>0</v>
      </c>
    </row>
    <row r="16" spans="3:10" x14ac:dyDescent="0.2">
      <c r="C16" t="s">
        <v>309</v>
      </c>
      <c r="D16" s="48">
        <f t="shared" si="0"/>
        <v>32980.022141000001</v>
      </c>
      <c r="E16" s="86">
        <v>14706.766866</v>
      </c>
      <c r="F16" s="87">
        <v>18273.255275000003</v>
      </c>
      <c r="G16" s="87">
        <f t="shared" si="1"/>
        <v>32980.022141000001</v>
      </c>
      <c r="H16" s="200">
        <v>0</v>
      </c>
      <c r="I16" s="80">
        <v>0</v>
      </c>
      <c r="J16" s="80">
        <v>0</v>
      </c>
    </row>
    <row r="17" spans="3:10" x14ac:dyDescent="0.2">
      <c r="C17" s="52" t="s">
        <v>183</v>
      </c>
      <c r="D17" s="53">
        <f t="shared" si="0"/>
        <v>512057.58669999999</v>
      </c>
      <c r="E17" s="89">
        <v>335258.6116</v>
      </c>
      <c r="F17" s="90">
        <v>176798.97510000001</v>
      </c>
      <c r="G17" s="90">
        <f t="shared" si="1"/>
        <v>512057.58669999999</v>
      </c>
      <c r="H17" s="91">
        <v>0</v>
      </c>
      <c r="I17" s="81">
        <v>0</v>
      </c>
      <c r="J17" s="81">
        <v>0</v>
      </c>
    </row>
    <row r="18" spans="3:10" x14ac:dyDescent="0.2">
      <c r="C18" t="s">
        <v>151</v>
      </c>
      <c r="D18" s="48">
        <f t="shared" si="0"/>
        <v>10320.250432000001</v>
      </c>
      <c r="E18" s="86">
        <v>4517.3260190000001</v>
      </c>
      <c r="F18" s="87">
        <v>5802.9244130000006</v>
      </c>
      <c r="G18" s="87">
        <f t="shared" si="1"/>
        <v>10320.250432000001</v>
      </c>
      <c r="H18" s="200">
        <v>0</v>
      </c>
      <c r="I18" s="80">
        <v>0</v>
      </c>
      <c r="J18" s="80">
        <v>0</v>
      </c>
    </row>
    <row r="19" spans="3:10" x14ac:dyDescent="0.2">
      <c r="C19" s="52" t="s">
        <v>221</v>
      </c>
      <c r="D19" s="53">
        <f t="shared" si="0"/>
        <v>18502.490664000001</v>
      </c>
      <c r="E19" s="89">
        <v>10923.880464</v>
      </c>
      <c r="F19" s="90">
        <v>7578.6102000000001</v>
      </c>
      <c r="G19" s="90">
        <f t="shared" si="1"/>
        <v>18502.490664000001</v>
      </c>
      <c r="H19" s="91">
        <v>0</v>
      </c>
      <c r="I19" s="81">
        <v>0</v>
      </c>
      <c r="J19" s="81">
        <v>0</v>
      </c>
    </row>
    <row r="20" spans="3:10" x14ac:dyDescent="0.2">
      <c r="C20" t="s">
        <v>254</v>
      </c>
      <c r="D20" s="48">
        <f t="shared" si="0"/>
        <v>17883.806707</v>
      </c>
      <c r="E20" s="86">
        <v>9563.0520820000002</v>
      </c>
      <c r="F20" s="87">
        <v>8320.7546249999996</v>
      </c>
      <c r="G20" s="87">
        <f t="shared" si="1"/>
        <v>17883.806707</v>
      </c>
      <c r="H20" s="200">
        <v>0</v>
      </c>
      <c r="I20" s="80">
        <v>0</v>
      </c>
      <c r="J20" s="80">
        <v>0</v>
      </c>
    </row>
    <row r="21" spans="3:10" x14ac:dyDescent="0.2">
      <c r="C21" s="52" t="s">
        <v>284</v>
      </c>
      <c r="D21" s="53">
        <f t="shared" si="0"/>
        <v>93663.21353400001</v>
      </c>
      <c r="E21" s="89">
        <v>66715.895214000004</v>
      </c>
      <c r="F21" s="90">
        <v>26947.318319999998</v>
      </c>
      <c r="G21" s="90">
        <f t="shared" si="1"/>
        <v>93663.21353400001</v>
      </c>
      <c r="H21" s="91">
        <v>0</v>
      </c>
      <c r="I21" s="81">
        <v>0</v>
      </c>
      <c r="J21" s="81">
        <v>0</v>
      </c>
    </row>
    <row r="22" spans="3:10" x14ac:dyDescent="0.2">
      <c r="C22" t="s">
        <v>188</v>
      </c>
      <c r="D22" s="48">
        <f t="shared" si="0"/>
        <v>309954.25410399999</v>
      </c>
      <c r="E22" s="86">
        <v>31231.591353999996</v>
      </c>
      <c r="F22" s="87">
        <v>278722.66275000002</v>
      </c>
      <c r="G22" s="87">
        <f t="shared" si="1"/>
        <v>309954.25410399999</v>
      </c>
      <c r="H22" s="200">
        <v>0</v>
      </c>
      <c r="I22" s="80">
        <v>0</v>
      </c>
      <c r="J22" s="80">
        <v>0</v>
      </c>
    </row>
    <row r="23" spans="3:10" x14ac:dyDescent="0.2">
      <c r="C23" s="52" t="s">
        <v>220</v>
      </c>
      <c r="D23" s="53">
        <f t="shared" si="0"/>
        <v>106597.69003899999</v>
      </c>
      <c r="E23" s="89">
        <v>39923.042709000001</v>
      </c>
      <c r="F23" s="90">
        <v>66674.647329999993</v>
      </c>
      <c r="G23" s="90">
        <f t="shared" si="1"/>
        <v>106597.69003899999</v>
      </c>
      <c r="H23" s="91">
        <v>0</v>
      </c>
      <c r="I23" s="81">
        <v>0</v>
      </c>
      <c r="J23" s="81">
        <v>0</v>
      </c>
    </row>
    <row r="24" spans="3:10" x14ac:dyDescent="0.2">
      <c r="C24" t="s">
        <v>146</v>
      </c>
      <c r="D24" s="48">
        <f t="shared" si="0"/>
        <v>2248.2734150000001</v>
      </c>
      <c r="E24" s="86">
        <v>837.91043999999999</v>
      </c>
      <c r="F24" s="87">
        <v>1410.362975</v>
      </c>
      <c r="G24" s="87">
        <f t="shared" si="1"/>
        <v>2248.2734150000001</v>
      </c>
      <c r="H24" s="200">
        <v>0</v>
      </c>
      <c r="I24" s="80">
        <v>0</v>
      </c>
      <c r="J24" s="80">
        <v>0</v>
      </c>
    </row>
    <row r="25" spans="3:10" x14ac:dyDescent="0.2">
      <c r="C25" s="52" t="s">
        <v>225</v>
      </c>
      <c r="D25" s="53">
        <f t="shared" si="0"/>
        <v>64542.082591999999</v>
      </c>
      <c r="E25" s="89">
        <v>35229.371041999999</v>
      </c>
      <c r="F25" s="90">
        <v>29312.71155</v>
      </c>
      <c r="G25" s="90">
        <f t="shared" si="1"/>
        <v>64542.082591999999</v>
      </c>
      <c r="H25" s="91">
        <v>0</v>
      </c>
      <c r="I25" s="81">
        <v>0</v>
      </c>
      <c r="J25" s="81">
        <v>0</v>
      </c>
    </row>
    <row r="26" spans="3:10" x14ac:dyDescent="0.2">
      <c r="C26" t="s">
        <v>307</v>
      </c>
      <c r="D26" s="48">
        <f t="shared" si="0"/>
        <v>16800.00978</v>
      </c>
      <c r="E26" s="86">
        <v>9427.336229999999</v>
      </c>
      <c r="F26" s="87">
        <v>7372.6735500000004</v>
      </c>
      <c r="G26" s="87">
        <f t="shared" si="1"/>
        <v>16800.00978</v>
      </c>
      <c r="H26" s="200">
        <v>0</v>
      </c>
      <c r="I26" s="80">
        <v>0</v>
      </c>
      <c r="J26" s="80">
        <v>0</v>
      </c>
    </row>
    <row r="27" spans="3:10" x14ac:dyDescent="0.2">
      <c r="C27" s="347" t="s">
        <v>287</v>
      </c>
      <c r="D27" s="53">
        <f t="shared" si="0"/>
        <v>209977.63552700003</v>
      </c>
      <c r="E27" s="89">
        <v>190745.81568700002</v>
      </c>
      <c r="F27" s="90">
        <v>19231.81984</v>
      </c>
      <c r="G27" s="90">
        <f t="shared" si="1"/>
        <v>209977.63552700003</v>
      </c>
      <c r="H27" s="91">
        <v>0</v>
      </c>
      <c r="I27" s="81">
        <v>0</v>
      </c>
      <c r="J27" s="81">
        <v>0</v>
      </c>
    </row>
    <row r="28" spans="3:10" x14ac:dyDescent="0.2">
      <c r="C28" t="s">
        <v>178</v>
      </c>
      <c r="D28" s="48">
        <f t="shared" si="0"/>
        <v>537094.49312399991</v>
      </c>
      <c r="E28" s="86">
        <v>365875.54289999994</v>
      </c>
      <c r="F28" s="87">
        <v>171218.950224</v>
      </c>
      <c r="G28" s="87">
        <f t="shared" si="1"/>
        <v>537094.49312399991</v>
      </c>
      <c r="H28" s="200">
        <v>0</v>
      </c>
      <c r="I28" s="80">
        <v>0</v>
      </c>
      <c r="J28" s="80">
        <v>0</v>
      </c>
    </row>
    <row r="29" spans="3:10" x14ac:dyDescent="0.2">
      <c r="C29" s="52" t="s">
        <v>175</v>
      </c>
      <c r="D29" s="53">
        <f t="shared" si="0"/>
        <v>209042.908926</v>
      </c>
      <c r="E29" s="89">
        <v>100604.40863000001</v>
      </c>
      <c r="F29" s="90">
        <v>108438.500296</v>
      </c>
      <c r="G29" s="90">
        <f t="shared" si="1"/>
        <v>209042.908926</v>
      </c>
      <c r="H29" s="91">
        <v>0</v>
      </c>
      <c r="I29" s="81">
        <v>0</v>
      </c>
      <c r="J29" s="81">
        <v>0</v>
      </c>
    </row>
    <row r="30" spans="3:10" x14ac:dyDescent="0.2">
      <c r="C30" t="s">
        <v>212</v>
      </c>
      <c r="D30" s="48">
        <f t="shared" si="0"/>
        <v>695222.32670000009</v>
      </c>
      <c r="E30" s="86">
        <v>414566.28710000002</v>
      </c>
      <c r="F30" s="87">
        <v>280656.03960000002</v>
      </c>
      <c r="G30" s="87">
        <f t="shared" si="1"/>
        <v>695222.32670000009</v>
      </c>
      <c r="H30" s="200">
        <v>0</v>
      </c>
      <c r="I30" s="80">
        <v>0</v>
      </c>
      <c r="J30" s="80">
        <v>0</v>
      </c>
    </row>
    <row r="31" spans="3:10" x14ac:dyDescent="0.2">
      <c r="C31" s="52" t="s">
        <v>179</v>
      </c>
      <c r="D31" s="53">
        <f t="shared" si="0"/>
        <v>452060.75651400001</v>
      </c>
      <c r="E31" s="89">
        <v>268608.64376000001</v>
      </c>
      <c r="F31" s="90">
        <v>183452.11275399997</v>
      </c>
      <c r="G31" s="90">
        <f t="shared" si="1"/>
        <v>452060.75651400001</v>
      </c>
      <c r="H31" s="91">
        <v>0</v>
      </c>
      <c r="I31" s="81">
        <v>0</v>
      </c>
      <c r="J31" s="81">
        <v>0</v>
      </c>
    </row>
    <row r="32" spans="3:10" x14ac:dyDescent="0.2">
      <c r="C32" t="s">
        <v>118</v>
      </c>
      <c r="D32" s="48">
        <f t="shared" si="0"/>
        <v>15858.466686</v>
      </c>
      <c r="E32" s="86">
        <v>6857.5473609999999</v>
      </c>
      <c r="F32" s="87">
        <v>9000.9193250000008</v>
      </c>
      <c r="G32" s="87">
        <f t="shared" si="1"/>
        <v>15858.466686</v>
      </c>
      <c r="H32" s="200">
        <v>0</v>
      </c>
      <c r="I32" s="80">
        <v>0</v>
      </c>
      <c r="J32" s="80">
        <v>0</v>
      </c>
    </row>
    <row r="33" spans="3:10" x14ac:dyDescent="0.2">
      <c r="C33" s="347" t="s">
        <v>465</v>
      </c>
      <c r="D33" s="53">
        <f t="shared" si="0"/>
        <v>259800.03889</v>
      </c>
      <c r="E33" s="89">
        <v>230932.18064000001</v>
      </c>
      <c r="F33" s="90">
        <v>28867.858250000001</v>
      </c>
      <c r="G33" s="90">
        <f t="shared" si="1"/>
        <v>259800.03889</v>
      </c>
      <c r="H33" s="91">
        <v>0</v>
      </c>
      <c r="I33" s="81">
        <v>0</v>
      </c>
      <c r="J33" s="81">
        <v>0</v>
      </c>
    </row>
    <row r="34" spans="3:10" x14ac:dyDescent="0.2">
      <c r="C34" t="s">
        <v>95</v>
      </c>
      <c r="D34" s="48">
        <f t="shared" si="0"/>
        <v>20620076.826888002</v>
      </c>
      <c r="E34" s="86">
        <v>17171174.266488001</v>
      </c>
      <c r="F34" s="87">
        <v>3448902.5604000003</v>
      </c>
      <c r="G34" s="87">
        <f t="shared" si="1"/>
        <v>20620076.826888002</v>
      </c>
      <c r="H34" s="200">
        <v>0</v>
      </c>
      <c r="I34" s="80">
        <v>0</v>
      </c>
      <c r="J34" s="80">
        <v>0</v>
      </c>
    </row>
    <row r="35" spans="3:10" x14ac:dyDescent="0.2">
      <c r="C35" s="52" t="s">
        <v>138</v>
      </c>
      <c r="D35" s="53">
        <f t="shared" si="0"/>
        <v>5795655.6323339995</v>
      </c>
      <c r="E35" s="89">
        <v>3843493.021584</v>
      </c>
      <c r="F35" s="90">
        <v>1952162.61075</v>
      </c>
      <c r="G35" s="90">
        <f t="shared" si="1"/>
        <v>5795655.6323339995</v>
      </c>
      <c r="H35" s="91">
        <v>0</v>
      </c>
      <c r="I35" s="81">
        <v>0</v>
      </c>
      <c r="J35" s="81">
        <v>0</v>
      </c>
    </row>
    <row r="36" spans="3:10" x14ac:dyDescent="0.2">
      <c r="C36" t="s">
        <v>140</v>
      </c>
      <c r="D36" s="48">
        <f t="shared" si="0"/>
        <v>4578.879363</v>
      </c>
      <c r="E36" s="86">
        <v>2130.6206380000003</v>
      </c>
      <c r="F36" s="87">
        <v>2448.2587249999997</v>
      </c>
      <c r="G36" s="87">
        <f t="shared" si="1"/>
        <v>4578.879363</v>
      </c>
      <c r="H36" s="200">
        <v>0</v>
      </c>
      <c r="I36" s="80">
        <v>0</v>
      </c>
      <c r="J36" s="80">
        <v>0</v>
      </c>
    </row>
    <row r="37" spans="3:10" x14ac:dyDescent="0.2">
      <c r="C37" s="52" t="s">
        <v>228</v>
      </c>
      <c r="D37" s="53">
        <f t="shared" si="0"/>
        <v>3095805.4694459997</v>
      </c>
      <c r="E37" s="89">
        <v>2259206.099496</v>
      </c>
      <c r="F37" s="90">
        <v>836599.36994999985</v>
      </c>
      <c r="G37" s="90">
        <f t="shared" si="1"/>
        <v>3095805.4694459997</v>
      </c>
      <c r="H37" s="91">
        <v>0</v>
      </c>
      <c r="I37" s="81">
        <v>0</v>
      </c>
      <c r="J37" s="81">
        <v>0</v>
      </c>
    </row>
    <row r="38" spans="3:10" x14ac:dyDescent="0.2">
      <c r="C38" t="s">
        <v>232</v>
      </c>
      <c r="D38" s="48">
        <f t="shared" si="0"/>
        <v>351244.501192</v>
      </c>
      <c r="E38" s="86">
        <v>165985.95059200001</v>
      </c>
      <c r="F38" s="87">
        <v>185258.55060000002</v>
      </c>
      <c r="G38" s="87">
        <f t="shared" si="1"/>
        <v>351244.501192</v>
      </c>
      <c r="H38" s="200">
        <v>0</v>
      </c>
      <c r="I38" s="80">
        <v>0</v>
      </c>
      <c r="J38" s="80">
        <v>0</v>
      </c>
    </row>
    <row r="39" spans="3:10" x14ac:dyDescent="0.2">
      <c r="C39" s="52" t="s">
        <v>116</v>
      </c>
      <c r="D39" s="53">
        <f t="shared" si="0"/>
        <v>19867.881115</v>
      </c>
      <c r="E39" s="89">
        <v>5155.9748650000001</v>
      </c>
      <c r="F39" s="90">
        <v>14711.90625</v>
      </c>
      <c r="G39" s="90">
        <f t="shared" si="1"/>
        <v>19867.881115</v>
      </c>
      <c r="H39" s="91">
        <v>0</v>
      </c>
      <c r="I39" s="81">
        <v>0</v>
      </c>
      <c r="J39" s="81">
        <v>0</v>
      </c>
    </row>
    <row r="40" spans="3:10" x14ac:dyDescent="0.2">
      <c r="C40" t="s">
        <v>244</v>
      </c>
      <c r="D40" s="48">
        <f t="shared" si="0"/>
        <v>29716.648799999999</v>
      </c>
      <c r="E40" s="86">
        <v>13577.719500000001</v>
      </c>
      <c r="F40" s="87">
        <v>16138.929299999998</v>
      </c>
      <c r="G40" s="87">
        <f t="shared" si="1"/>
        <v>29716.648799999999</v>
      </c>
      <c r="H40" s="200">
        <v>0</v>
      </c>
      <c r="I40" s="80">
        <v>0</v>
      </c>
      <c r="J40" s="80">
        <v>0</v>
      </c>
    </row>
    <row r="41" spans="3:10" x14ac:dyDescent="0.2">
      <c r="C41" s="52" t="s">
        <v>114</v>
      </c>
      <c r="D41" s="53">
        <f t="shared" si="0"/>
        <v>51962.745264999998</v>
      </c>
      <c r="E41" s="89">
        <v>37521.86004</v>
      </c>
      <c r="F41" s="90">
        <v>14440.885224999998</v>
      </c>
      <c r="G41" s="90">
        <f t="shared" si="1"/>
        <v>51962.745264999998</v>
      </c>
      <c r="H41" s="91">
        <v>0</v>
      </c>
      <c r="I41" s="81">
        <v>0</v>
      </c>
      <c r="J41" s="81">
        <v>0</v>
      </c>
    </row>
    <row r="42" spans="3:10" x14ac:dyDescent="0.2">
      <c r="C42" t="s">
        <v>56</v>
      </c>
      <c r="D42" s="48">
        <f t="shared" si="0"/>
        <v>9385371.524815999</v>
      </c>
      <c r="E42" s="86">
        <v>5833626.9747709995</v>
      </c>
      <c r="F42" s="87">
        <v>3551744.5500449999</v>
      </c>
      <c r="G42" s="87">
        <f t="shared" si="1"/>
        <v>9385371.524815999</v>
      </c>
      <c r="H42" s="200">
        <v>0</v>
      </c>
      <c r="I42" s="80">
        <v>0</v>
      </c>
      <c r="J42" s="80">
        <v>0</v>
      </c>
    </row>
    <row r="43" spans="3:10" x14ac:dyDescent="0.2">
      <c r="C43" s="52" t="s">
        <v>127</v>
      </c>
      <c r="D43" s="53">
        <f t="shared" si="0"/>
        <v>250298.87722600001</v>
      </c>
      <c r="E43" s="89">
        <v>92571.992188000004</v>
      </c>
      <c r="F43" s="90">
        <v>157726.88503800001</v>
      </c>
      <c r="G43" s="90">
        <f t="shared" si="1"/>
        <v>250298.87722600001</v>
      </c>
      <c r="H43" s="91">
        <v>0</v>
      </c>
      <c r="I43" s="81">
        <v>0</v>
      </c>
      <c r="J43" s="81">
        <v>0</v>
      </c>
    </row>
    <row r="44" spans="3:10" x14ac:dyDescent="0.2">
      <c r="C44" t="s">
        <v>97</v>
      </c>
      <c r="D44" s="48">
        <f t="shared" si="0"/>
        <v>710250.77025000006</v>
      </c>
      <c r="E44" s="86">
        <v>431547.07567500003</v>
      </c>
      <c r="F44" s="87">
        <v>278703.69457499997</v>
      </c>
      <c r="G44" s="87">
        <f t="shared" si="1"/>
        <v>710250.77025000006</v>
      </c>
      <c r="H44" s="200">
        <v>0</v>
      </c>
      <c r="I44" s="80">
        <v>0</v>
      </c>
      <c r="J44" s="80">
        <v>0</v>
      </c>
    </row>
    <row r="45" spans="3:10" x14ac:dyDescent="0.2">
      <c r="C45" s="52" t="s">
        <v>58</v>
      </c>
      <c r="D45" s="53">
        <f t="shared" si="0"/>
        <v>719458.53752800007</v>
      </c>
      <c r="E45" s="89">
        <v>487406.85616000008</v>
      </c>
      <c r="F45" s="90">
        <v>232051.68136800005</v>
      </c>
      <c r="G45" s="90">
        <f t="shared" si="1"/>
        <v>719458.53752800007</v>
      </c>
      <c r="H45" s="91">
        <v>0</v>
      </c>
      <c r="I45" s="81">
        <v>0</v>
      </c>
      <c r="J45" s="81">
        <v>0</v>
      </c>
    </row>
    <row r="46" spans="3:10" x14ac:dyDescent="0.2">
      <c r="C46" t="s">
        <v>218</v>
      </c>
      <c r="D46" s="48">
        <f t="shared" si="0"/>
        <v>77319.794850000006</v>
      </c>
      <c r="E46" s="86">
        <v>49356.359700000001</v>
      </c>
      <c r="F46" s="87">
        <v>27963.435150000001</v>
      </c>
      <c r="G46" s="87">
        <f t="shared" si="1"/>
        <v>77319.794850000006</v>
      </c>
      <c r="H46" s="200">
        <v>0</v>
      </c>
      <c r="I46" s="80">
        <v>0</v>
      </c>
      <c r="J46" s="80">
        <v>0</v>
      </c>
    </row>
    <row r="47" spans="3:10" x14ac:dyDescent="0.2">
      <c r="C47" s="52" t="s">
        <v>289</v>
      </c>
      <c r="D47" s="53">
        <f t="shared" si="0"/>
        <v>2159166.073171</v>
      </c>
      <c r="E47" s="89">
        <v>1449648.937471</v>
      </c>
      <c r="F47" s="90">
        <v>709517.1357000001</v>
      </c>
      <c r="G47" s="90">
        <f t="shared" si="1"/>
        <v>2159166.073171</v>
      </c>
      <c r="H47" s="91">
        <v>0</v>
      </c>
      <c r="I47" s="81">
        <v>0</v>
      </c>
      <c r="J47" s="81">
        <v>0</v>
      </c>
    </row>
    <row r="48" spans="3:10" x14ac:dyDescent="0.2">
      <c r="C48" t="s">
        <v>124</v>
      </c>
      <c r="D48" s="48">
        <f t="shared" si="0"/>
        <v>1265653.8509279999</v>
      </c>
      <c r="E48" s="86">
        <v>552822.98636399989</v>
      </c>
      <c r="F48" s="87">
        <v>712830.86456400005</v>
      </c>
      <c r="G48" s="87">
        <f t="shared" si="1"/>
        <v>1265653.8509279999</v>
      </c>
      <c r="H48" s="200">
        <v>0</v>
      </c>
      <c r="I48" s="80">
        <v>0</v>
      </c>
      <c r="J48" s="80">
        <v>0</v>
      </c>
    </row>
    <row r="49" spans="3:11" x14ac:dyDescent="0.2">
      <c r="C49" s="52" t="s">
        <v>59</v>
      </c>
      <c r="D49" s="53">
        <f>G49+J49</f>
        <v>775751.82748500002</v>
      </c>
      <c r="E49" s="89">
        <v>407739.42808500002</v>
      </c>
      <c r="F49" s="90">
        <v>368012.39940000005</v>
      </c>
      <c r="G49" s="90">
        <f t="shared" si="1"/>
        <v>775751.82748500002</v>
      </c>
      <c r="H49" s="91">
        <v>0</v>
      </c>
      <c r="I49" s="81">
        <v>0</v>
      </c>
      <c r="J49" s="81">
        <v>0</v>
      </c>
    </row>
    <row r="50" spans="3:11" x14ac:dyDescent="0.2">
      <c r="C50" t="s">
        <v>186</v>
      </c>
      <c r="D50" s="48">
        <f t="shared" si="0"/>
        <v>23982.053261999994</v>
      </c>
      <c r="E50" s="86">
        <v>15313.865811999998</v>
      </c>
      <c r="F50" s="87">
        <v>8668.1874499999976</v>
      </c>
      <c r="G50" s="87">
        <f t="shared" si="1"/>
        <v>23982.053261999994</v>
      </c>
      <c r="H50" s="200">
        <v>0</v>
      </c>
      <c r="I50" s="80">
        <v>0</v>
      </c>
      <c r="J50" s="80">
        <v>0</v>
      </c>
    </row>
    <row r="51" spans="3:11" x14ac:dyDescent="0.2">
      <c r="C51" s="52" t="s">
        <v>204</v>
      </c>
      <c r="D51" s="53">
        <f t="shared" si="0"/>
        <v>17972.824602000001</v>
      </c>
      <c r="E51" s="89">
        <v>10639.736352</v>
      </c>
      <c r="F51" s="90">
        <v>7333.0882500000007</v>
      </c>
      <c r="G51" s="90">
        <f t="shared" si="1"/>
        <v>17972.824602000001</v>
      </c>
      <c r="H51" s="91">
        <v>0</v>
      </c>
      <c r="I51" s="81">
        <v>0</v>
      </c>
      <c r="J51" s="81">
        <v>0</v>
      </c>
    </row>
    <row r="52" spans="3:11" x14ac:dyDescent="0.2">
      <c r="C52" t="s">
        <v>250</v>
      </c>
      <c r="D52" s="48">
        <f t="shared" si="0"/>
        <v>22782.316684999998</v>
      </c>
      <c r="E52" s="86">
        <v>8603.7333600000002</v>
      </c>
      <c r="F52" s="87">
        <v>14178.583325</v>
      </c>
      <c r="G52" s="87">
        <f t="shared" si="1"/>
        <v>22782.316684999998</v>
      </c>
      <c r="H52" s="200">
        <v>0</v>
      </c>
      <c r="I52" s="80">
        <v>0</v>
      </c>
      <c r="J52" s="80">
        <v>0</v>
      </c>
    </row>
    <row r="53" spans="3:11" x14ac:dyDescent="0.2">
      <c r="C53" s="52" t="s">
        <v>86</v>
      </c>
      <c r="D53" s="53">
        <f t="shared" si="0"/>
        <v>191935.12455400001</v>
      </c>
      <c r="E53" s="89">
        <v>106415.554104</v>
      </c>
      <c r="F53" s="90">
        <v>85519.570450000014</v>
      </c>
      <c r="G53" s="90">
        <f t="shared" si="1"/>
        <v>191935.12455400001</v>
      </c>
      <c r="H53" s="91">
        <v>0</v>
      </c>
      <c r="I53" s="81">
        <v>0</v>
      </c>
      <c r="J53" s="81">
        <v>0</v>
      </c>
    </row>
    <row r="54" spans="3:11" x14ac:dyDescent="0.2">
      <c r="C54" t="s">
        <v>99</v>
      </c>
      <c r="D54" s="48">
        <f t="shared" si="0"/>
        <v>477706.77630000003</v>
      </c>
      <c r="E54" s="86">
        <v>132875.95770000003</v>
      </c>
      <c r="F54" s="87">
        <v>344830.8186</v>
      </c>
      <c r="G54" s="87">
        <f t="shared" si="1"/>
        <v>477706.77630000003</v>
      </c>
      <c r="H54" s="200">
        <v>0</v>
      </c>
      <c r="I54" s="80">
        <v>0</v>
      </c>
      <c r="J54" s="80">
        <v>0</v>
      </c>
    </row>
    <row r="55" spans="3:11" x14ac:dyDescent="0.2">
      <c r="C55" s="52" t="s">
        <v>311</v>
      </c>
      <c r="D55" s="53">
        <f t="shared" si="0"/>
        <v>222815.88709499998</v>
      </c>
      <c r="E55" s="89">
        <v>149520.71689499999</v>
      </c>
      <c r="F55" s="90">
        <v>73295.170199999993</v>
      </c>
      <c r="G55" s="90">
        <f t="shared" si="1"/>
        <v>222815.88709499998</v>
      </c>
      <c r="H55" s="91">
        <v>0</v>
      </c>
      <c r="I55" s="81">
        <v>0</v>
      </c>
      <c r="J55" s="81">
        <v>0</v>
      </c>
    </row>
    <row r="56" spans="3:11" x14ac:dyDescent="0.2">
      <c r="C56" t="s">
        <v>133</v>
      </c>
      <c r="D56" s="48">
        <f t="shared" si="0"/>
        <v>76336.198200000013</v>
      </c>
      <c r="E56" s="86">
        <v>17183.789550000001</v>
      </c>
      <c r="F56" s="87">
        <v>59152.408650000005</v>
      </c>
      <c r="G56" s="87">
        <f t="shared" si="1"/>
        <v>76336.198200000013</v>
      </c>
      <c r="H56" s="200">
        <v>0</v>
      </c>
      <c r="I56" s="80">
        <v>0</v>
      </c>
      <c r="J56" s="80">
        <v>0</v>
      </c>
    </row>
    <row r="57" spans="3:11" x14ac:dyDescent="0.2">
      <c r="C57" s="52" t="s">
        <v>169</v>
      </c>
      <c r="D57" s="53">
        <f t="shared" si="0"/>
        <v>1718.0744340000001</v>
      </c>
      <c r="E57" s="89">
        <v>998.65243400000008</v>
      </c>
      <c r="F57" s="90">
        <v>719.42200000000003</v>
      </c>
      <c r="G57" s="90">
        <f t="shared" si="1"/>
        <v>1718.0744340000001</v>
      </c>
      <c r="H57" s="91">
        <v>0</v>
      </c>
      <c r="I57" s="81">
        <v>0</v>
      </c>
      <c r="J57" s="81">
        <v>0</v>
      </c>
    </row>
    <row r="58" spans="3:11" x14ac:dyDescent="0.2">
      <c r="C58" t="s">
        <v>291</v>
      </c>
      <c r="D58" s="48">
        <f t="shared" si="0"/>
        <v>42713.104974999995</v>
      </c>
      <c r="E58" s="86">
        <v>14942.878225</v>
      </c>
      <c r="F58" s="87">
        <v>27770.226749999998</v>
      </c>
      <c r="G58" s="87">
        <f t="shared" si="1"/>
        <v>42713.104974999995</v>
      </c>
      <c r="H58" s="200">
        <v>0</v>
      </c>
      <c r="I58" s="80">
        <v>0</v>
      </c>
      <c r="J58" s="80">
        <v>0</v>
      </c>
    </row>
    <row r="59" spans="3:11" x14ac:dyDescent="0.2">
      <c r="C59" s="52" t="s">
        <v>216</v>
      </c>
      <c r="D59" s="53">
        <f t="shared" si="0"/>
        <v>11720.901303999999</v>
      </c>
      <c r="E59" s="89">
        <v>5105.2571040000003</v>
      </c>
      <c r="F59" s="90">
        <v>6615.6441999999997</v>
      </c>
      <c r="G59" s="90">
        <f t="shared" si="1"/>
        <v>11720.901303999999</v>
      </c>
      <c r="H59" s="91">
        <v>0</v>
      </c>
      <c r="I59" s="81">
        <v>0</v>
      </c>
      <c r="J59" s="81">
        <v>0</v>
      </c>
    </row>
    <row r="60" spans="3:11" x14ac:dyDescent="0.2">
      <c r="C60" s="497" t="s">
        <v>130</v>
      </c>
      <c r="D60" s="498">
        <f t="shared" si="0"/>
        <v>10563.096390000001</v>
      </c>
      <c r="E60" s="499">
        <v>7828.2910400000001</v>
      </c>
      <c r="F60" s="498">
        <v>2734.8053500000001</v>
      </c>
      <c r="G60" s="498">
        <f t="shared" si="1"/>
        <v>10563.096390000001</v>
      </c>
      <c r="H60" s="499">
        <v>0</v>
      </c>
      <c r="I60" s="498">
        <v>0</v>
      </c>
      <c r="J60" s="498">
        <v>0</v>
      </c>
    </row>
    <row r="61" spans="3:11" ht="13.5" thickBot="1" x14ac:dyDescent="0.25">
      <c r="C61" s="543" t="s">
        <v>0</v>
      </c>
      <c r="D61" s="541">
        <f>G61+J61</f>
        <v>205670122.08890703</v>
      </c>
      <c r="E61" s="542">
        <f>SUM('Table 21 part 1'!E9:E62)+SUM('Table 21 part 2'!E9:E60)</f>
        <v>149648200.29503804</v>
      </c>
      <c r="F61" s="542">
        <f>SUM('Table 21 part 1'!F9:F62)+SUM('Table 21 part 2'!F9:F60)</f>
        <v>55331577.738141015</v>
      </c>
      <c r="G61" s="541">
        <f>E61+F61</f>
        <v>204979778.03317904</v>
      </c>
      <c r="H61" s="542">
        <f>SUM('Table 21 part 1'!H9:H62)+SUM('Table 21 part 2'!H9:H60)</f>
        <v>562215.02781200001</v>
      </c>
      <c r="I61" s="542">
        <f>SUM('Table 21 part 1'!I9:I62)+SUM('Table 21 part 2'!I9:I60)</f>
        <v>128129.02791599999</v>
      </c>
      <c r="J61" s="542">
        <f>H61+I61</f>
        <v>690344.05572800001</v>
      </c>
    </row>
    <row r="62" spans="3:11" ht="14.25" x14ac:dyDescent="0.2">
      <c r="C62" s="611" t="s">
        <v>526</v>
      </c>
      <c r="D62" s="611"/>
      <c r="E62" s="611"/>
      <c r="F62" s="611"/>
      <c r="G62" s="611"/>
      <c r="H62" s="611"/>
      <c r="I62" s="611"/>
      <c r="J62" s="611"/>
    </row>
    <row r="63" spans="3:11" x14ac:dyDescent="0.2">
      <c r="J63" s="48"/>
    </row>
    <row r="64" spans="3:11" x14ac:dyDescent="0.2">
      <c r="C64" s="609">
        <f>+'Table 21 part 1'!C66:J66+1</f>
        <v>25</v>
      </c>
      <c r="D64" s="609"/>
      <c r="E64" s="609"/>
      <c r="F64" s="609"/>
      <c r="G64" s="609"/>
      <c r="H64" s="609"/>
      <c r="I64" s="609"/>
      <c r="J64" s="609"/>
      <c r="K64" s="609"/>
    </row>
    <row r="65" spans="4:11" x14ac:dyDescent="0.2">
      <c r="H65">
        <f>+H595</f>
        <v>0</v>
      </c>
    </row>
    <row r="66" spans="4:11" x14ac:dyDescent="0.2">
      <c r="H66" s="48"/>
    </row>
    <row r="67" spans="4:11" hidden="1" x14ac:dyDescent="0.2">
      <c r="D67">
        <f>+'Table 21 part 1'!D70</f>
        <v>132941246.87457</v>
      </c>
      <c r="E67">
        <f>+'Table 21 part 1'!E70</f>
        <v>97584224.251079038</v>
      </c>
      <c r="F67">
        <f>+'Table 21 part 1'!F70</f>
        <v>34666678.567763008</v>
      </c>
      <c r="G67">
        <f>+'Table 21 part 1'!G70</f>
        <v>132250902.81884201</v>
      </c>
      <c r="H67">
        <f>+'Table 21 part 1'!H70</f>
        <v>562215.02781200001</v>
      </c>
      <c r="I67">
        <f>+'Table 21 part 1'!I70</f>
        <v>128129.02791599999</v>
      </c>
      <c r="J67">
        <f>+'Table 21 part 1'!J70</f>
        <v>690344.05572799989</v>
      </c>
      <c r="K67" t="s">
        <v>428</v>
      </c>
    </row>
    <row r="72" spans="4:11" x14ac:dyDescent="0.2">
      <c r="I72" s="118"/>
    </row>
    <row r="123" spans="14:15" x14ac:dyDescent="0.2">
      <c r="N123" s="534"/>
      <c r="O123" s="535"/>
    </row>
    <row r="124" spans="14:15" x14ac:dyDescent="0.2">
      <c r="N124" s="534"/>
      <c r="O124" s="535"/>
    </row>
    <row r="125" spans="14:15" x14ac:dyDescent="0.2">
      <c r="N125" s="534"/>
      <c r="O125" s="535"/>
    </row>
  </sheetData>
  <sortState xmlns:xlrd2="http://schemas.microsoft.com/office/spreadsheetml/2017/richdata2" ref="N20:O125">
    <sortCondition descending="1" ref="O20:O125"/>
  </sortState>
  <mergeCells count="2">
    <mergeCell ref="C64:K64"/>
    <mergeCell ref="C62:J62"/>
  </mergeCells>
  <phoneticPr fontId="38" type="noConversion"/>
  <printOptions horizontalCentered="1" verticalCentered="1"/>
  <pageMargins left="0.75" right="0.75" top="0.5" bottom="0.5" header="0.5" footer="0.5"/>
  <pageSetup scale="8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C1:V97"/>
  <sheetViews>
    <sheetView showGridLines="0" showZeros="0" view="pageBreakPreview" topLeftCell="A26" zoomScaleNormal="100" zoomScaleSheetLayoutView="100" workbookViewId="0">
      <selection activeCell="O49" sqref="O49"/>
    </sheetView>
  </sheetViews>
  <sheetFormatPr defaultRowHeight="12.75" x14ac:dyDescent="0.2"/>
  <cols>
    <col min="3" max="3" width="13.42578125" customWidth="1"/>
    <col min="4" max="4" width="13" customWidth="1"/>
    <col min="5" max="6" width="12.85546875" customWidth="1"/>
    <col min="7" max="7" width="12.140625" customWidth="1"/>
    <col min="8" max="8" width="10.7109375" customWidth="1"/>
    <col min="9" max="9" width="2.5703125" customWidth="1"/>
    <col min="10" max="10" width="14.28515625" customWidth="1"/>
    <col min="11" max="11" width="13.85546875" bestFit="1" customWidth="1"/>
    <col min="12" max="12" width="14.28515625" customWidth="1"/>
    <col min="13" max="13" width="12.85546875" customWidth="1"/>
    <col min="14" max="14" width="12.140625" customWidth="1"/>
    <col min="15" max="15" width="12" customWidth="1"/>
    <col min="20" max="20" width="12.85546875" customWidth="1"/>
  </cols>
  <sheetData>
    <row r="1" spans="3:15" ht="15" x14ac:dyDescent="0.25">
      <c r="C1" s="83" t="s">
        <v>444</v>
      </c>
      <c r="D1" s="84"/>
      <c r="E1" s="84"/>
      <c r="F1" s="84"/>
      <c r="G1" s="84"/>
    </row>
    <row r="2" spans="3:15" ht="15" x14ac:dyDescent="0.25">
      <c r="C2" s="74" t="s">
        <v>497</v>
      </c>
      <c r="D2" s="84"/>
      <c r="E2" s="84"/>
      <c r="F2" s="74" t="str">
        <f>'table 1 &amp; 2'!C2</f>
        <v>2022 Tax Year</v>
      </c>
      <c r="G2" s="84"/>
    </row>
    <row r="5" spans="3:15" ht="18" x14ac:dyDescent="0.25">
      <c r="C5" s="5" t="s">
        <v>527</v>
      </c>
      <c r="D5" s="7"/>
      <c r="E5" s="7"/>
      <c r="F5" s="7"/>
      <c r="G5" s="7"/>
      <c r="H5" s="7"/>
      <c r="I5" s="7"/>
      <c r="J5" s="7"/>
      <c r="K5" s="5" t="str">
        <f>F2</f>
        <v>2022 Tax Year</v>
      </c>
      <c r="L5" s="7"/>
      <c r="M5" s="7"/>
      <c r="N5" s="7"/>
      <c r="O5" s="7"/>
    </row>
    <row r="6" spans="3:15" ht="18" x14ac:dyDescent="0.25"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3:15" x14ac:dyDescent="0.2">
      <c r="C7" s="7"/>
      <c r="D7" s="7"/>
      <c r="E7" s="280"/>
      <c r="F7" s="7"/>
      <c r="G7" s="7"/>
      <c r="H7" s="21"/>
      <c r="I7" s="280"/>
      <c r="J7" s="280"/>
      <c r="K7" s="7"/>
      <c r="L7" s="280"/>
      <c r="M7" s="7"/>
      <c r="N7" s="7"/>
      <c r="O7" s="395"/>
    </row>
    <row r="8" spans="3:15" x14ac:dyDescent="0.2">
      <c r="C8" s="6"/>
      <c r="D8" s="6"/>
      <c r="E8" s="122"/>
      <c r="G8" t="s">
        <v>4</v>
      </c>
      <c r="H8" s="46" t="s">
        <v>4</v>
      </c>
      <c r="I8" s="49"/>
      <c r="J8" s="6"/>
      <c r="K8" s="6"/>
      <c r="L8" s="122"/>
      <c r="N8" t="s">
        <v>4</v>
      </c>
      <c r="O8" s="396" t="s">
        <v>4</v>
      </c>
    </row>
    <row r="9" spans="3:15" ht="13.5" thickBot="1" x14ac:dyDescent="0.25">
      <c r="C9" s="23" t="s">
        <v>75</v>
      </c>
      <c r="D9" s="68" t="s">
        <v>341</v>
      </c>
      <c r="E9" s="230" t="s">
        <v>9</v>
      </c>
      <c r="F9" s="68" t="s">
        <v>28</v>
      </c>
      <c r="G9" s="394" t="s">
        <v>30</v>
      </c>
      <c r="H9" s="393" t="s">
        <v>453</v>
      </c>
      <c r="I9" s="63"/>
      <c r="J9" s="23" t="s">
        <v>75</v>
      </c>
      <c r="K9" s="68" t="s">
        <v>63</v>
      </c>
      <c r="L9" s="25" t="s">
        <v>9</v>
      </c>
      <c r="M9" s="24" t="s">
        <v>28</v>
      </c>
      <c r="N9" s="394" t="s">
        <v>454</v>
      </c>
      <c r="O9" s="397" t="s">
        <v>453</v>
      </c>
    </row>
    <row r="10" spans="3:15" x14ac:dyDescent="0.2">
      <c r="C10" s="53" t="s">
        <v>306</v>
      </c>
      <c r="D10" s="53">
        <f>SUM(E10:H10)</f>
        <v>1201161.1910350001</v>
      </c>
      <c r="E10" s="238">
        <v>895783.60014</v>
      </c>
      <c r="F10" s="53">
        <v>305377.59089500003</v>
      </c>
      <c r="G10" s="53">
        <v>0</v>
      </c>
      <c r="H10" s="53">
        <v>0</v>
      </c>
      <c r="I10" s="58">
        <v>0</v>
      </c>
      <c r="J10" s="52" t="s">
        <v>281</v>
      </c>
      <c r="K10" s="53">
        <f>SUM(L10:O10)</f>
        <v>5684972.8145699995</v>
      </c>
      <c r="L10" s="238">
        <v>4162442.5756899999</v>
      </c>
      <c r="M10" s="53">
        <v>1522530.2388799998</v>
      </c>
      <c r="N10" s="53">
        <v>0</v>
      </c>
      <c r="O10" s="398">
        <v>0</v>
      </c>
    </row>
    <row r="11" spans="3:15" x14ac:dyDescent="0.2">
      <c r="C11" t="s">
        <v>76</v>
      </c>
      <c r="D11" s="48">
        <f t="shared" ref="D11:D63" si="0">SUM(E11:H11)</f>
        <v>77582223.073472008</v>
      </c>
      <c r="E11" s="232">
        <v>61433629.923696004</v>
      </c>
      <c r="F11" s="48">
        <v>16148593.149776001</v>
      </c>
      <c r="G11" s="48">
        <v>0</v>
      </c>
      <c r="H11" s="48">
        <v>0</v>
      </c>
      <c r="I11" s="49">
        <v>0</v>
      </c>
      <c r="J11" t="s">
        <v>299</v>
      </c>
      <c r="K11" s="48">
        <f t="shared" ref="K11:K61" si="1">SUM(L11:O11)</f>
        <v>0</v>
      </c>
      <c r="L11" s="232">
        <v>0</v>
      </c>
      <c r="M11" s="48">
        <v>0</v>
      </c>
      <c r="N11" s="48">
        <v>0</v>
      </c>
      <c r="O11" s="399">
        <v>0</v>
      </c>
    </row>
    <row r="12" spans="3:15" x14ac:dyDescent="0.2">
      <c r="C12" s="52" t="s">
        <v>208</v>
      </c>
      <c r="D12" s="53">
        <f t="shared" si="0"/>
        <v>1183305.6806999999</v>
      </c>
      <c r="E12" s="238">
        <v>985966.62104599993</v>
      </c>
      <c r="F12" s="53">
        <v>197339.05965400001</v>
      </c>
      <c r="G12" s="53">
        <v>0</v>
      </c>
      <c r="H12" s="53">
        <v>0</v>
      </c>
      <c r="I12" s="58">
        <v>0</v>
      </c>
      <c r="J12" s="52" t="s">
        <v>111</v>
      </c>
      <c r="K12" s="53">
        <f t="shared" si="1"/>
        <v>0</v>
      </c>
      <c r="L12" s="238">
        <v>0</v>
      </c>
      <c r="M12" s="53">
        <v>0</v>
      </c>
      <c r="N12" s="53">
        <v>0</v>
      </c>
      <c r="O12" s="398">
        <v>0</v>
      </c>
    </row>
    <row r="13" spans="3:15" x14ac:dyDescent="0.2">
      <c r="C13" t="s">
        <v>447</v>
      </c>
      <c r="D13" s="48">
        <f t="shared" si="0"/>
        <v>291204.65791200002</v>
      </c>
      <c r="E13" s="232">
        <v>211167.59137800001</v>
      </c>
      <c r="F13" s="48">
        <v>80037.066534000012</v>
      </c>
      <c r="G13" s="48">
        <v>0</v>
      </c>
      <c r="H13" s="48">
        <v>0</v>
      </c>
      <c r="I13" s="49"/>
      <c r="J13" t="s">
        <v>166</v>
      </c>
      <c r="K13" s="48">
        <f t="shared" si="1"/>
        <v>0</v>
      </c>
      <c r="L13" s="232">
        <v>0</v>
      </c>
      <c r="M13" s="48">
        <v>0</v>
      </c>
      <c r="N13" s="48">
        <v>0</v>
      </c>
      <c r="O13" s="399">
        <v>0</v>
      </c>
    </row>
    <row r="14" spans="3:15" x14ac:dyDescent="0.2">
      <c r="C14" s="52" t="s">
        <v>313</v>
      </c>
      <c r="D14" s="53">
        <f t="shared" si="0"/>
        <v>0</v>
      </c>
      <c r="E14" s="238">
        <v>0</v>
      </c>
      <c r="F14" s="53">
        <v>0</v>
      </c>
      <c r="G14" s="53">
        <v>0</v>
      </c>
      <c r="H14" s="53">
        <v>0</v>
      </c>
      <c r="I14" s="58">
        <v>0</v>
      </c>
      <c r="J14" s="52" t="s">
        <v>45</v>
      </c>
      <c r="K14" s="53">
        <f t="shared" si="1"/>
        <v>0</v>
      </c>
      <c r="L14" s="238">
        <v>0</v>
      </c>
      <c r="M14" s="53">
        <v>0</v>
      </c>
      <c r="N14" s="53">
        <v>0</v>
      </c>
      <c r="O14" s="398">
        <v>0</v>
      </c>
    </row>
    <row r="15" spans="3:15" x14ac:dyDescent="0.2">
      <c r="C15" t="s">
        <v>272</v>
      </c>
      <c r="D15" s="48">
        <f t="shared" si="0"/>
        <v>0</v>
      </c>
      <c r="E15" s="232">
        <v>0</v>
      </c>
      <c r="F15" s="48">
        <v>0</v>
      </c>
      <c r="G15" s="48">
        <v>0</v>
      </c>
      <c r="H15" s="48">
        <v>0</v>
      </c>
      <c r="I15" s="49">
        <v>0</v>
      </c>
      <c r="J15" t="s">
        <v>277</v>
      </c>
      <c r="K15" s="48">
        <f t="shared" si="1"/>
        <v>396536.916272</v>
      </c>
      <c r="L15" s="232">
        <v>288993.2157</v>
      </c>
      <c r="M15" s="48">
        <v>107543.700572</v>
      </c>
      <c r="N15" s="48">
        <v>0</v>
      </c>
      <c r="O15" s="399">
        <v>0</v>
      </c>
    </row>
    <row r="16" spans="3:15" x14ac:dyDescent="0.2">
      <c r="C16" s="52" t="s">
        <v>109</v>
      </c>
      <c r="D16" s="53">
        <f t="shared" si="0"/>
        <v>0</v>
      </c>
      <c r="E16" s="238">
        <v>0</v>
      </c>
      <c r="F16" s="53">
        <v>0</v>
      </c>
      <c r="G16" s="53">
        <v>0</v>
      </c>
      <c r="H16" s="53">
        <v>0</v>
      </c>
      <c r="I16" s="58">
        <v>0</v>
      </c>
      <c r="J16" s="400" t="s">
        <v>82</v>
      </c>
      <c r="K16" s="53">
        <f t="shared" si="1"/>
        <v>314594.39899999998</v>
      </c>
      <c r="L16" s="238">
        <v>289240.098</v>
      </c>
      <c r="M16" s="53">
        <v>25354.300999999999</v>
      </c>
      <c r="N16" s="53">
        <v>0</v>
      </c>
      <c r="O16" s="398">
        <v>0</v>
      </c>
    </row>
    <row r="17" spans="3:15" x14ac:dyDescent="0.2">
      <c r="C17" t="s">
        <v>283</v>
      </c>
      <c r="D17" s="48">
        <f t="shared" si="0"/>
        <v>441346.46438999998</v>
      </c>
      <c r="E17" s="232">
        <v>238837.18630199999</v>
      </c>
      <c r="F17" s="48">
        <v>202509.27808800002</v>
      </c>
      <c r="G17" s="48">
        <v>0</v>
      </c>
      <c r="H17" s="48">
        <v>0</v>
      </c>
      <c r="I17" s="49">
        <v>0</v>
      </c>
      <c r="J17" t="s">
        <v>309</v>
      </c>
      <c r="K17" s="48">
        <f t="shared" si="1"/>
        <v>0</v>
      </c>
      <c r="L17" s="232">
        <v>0</v>
      </c>
      <c r="M17" s="48">
        <v>0</v>
      </c>
      <c r="N17" s="48">
        <v>0</v>
      </c>
      <c r="O17" s="399">
        <v>0</v>
      </c>
    </row>
    <row r="18" spans="3:15" x14ac:dyDescent="0.2">
      <c r="C18" s="52" t="s">
        <v>31</v>
      </c>
      <c r="D18" s="53">
        <f t="shared" si="0"/>
        <v>0</v>
      </c>
      <c r="E18" s="238">
        <v>0</v>
      </c>
      <c r="F18" s="53">
        <v>0</v>
      </c>
      <c r="G18" s="53">
        <v>0</v>
      </c>
      <c r="H18" s="53">
        <v>0</v>
      </c>
      <c r="I18" s="58">
        <v>0</v>
      </c>
      <c r="J18" s="52" t="s">
        <v>183</v>
      </c>
      <c r="K18" s="53">
        <f t="shared" si="1"/>
        <v>0</v>
      </c>
      <c r="L18" s="238">
        <v>0</v>
      </c>
      <c r="M18" s="53">
        <v>0</v>
      </c>
      <c r="N18" s="53">
        <v>0</v>
      </c>
      <c r="O18" s="398">
        <v>0</v>
      </c>
    </row>
    <row r="19" spans="3:15" x14ac:dyDescent="0.2">
      <c r="C19" t="s">
        <v>279</v>
      </c>
      <c r="D19" s="48">
        <f>SUM(E19:H19)</f>
        <v>0</v>
      </c>
      <c r="E19" s="232">
        <v>0</v>
      </c>
      <c r="F19" s="48">
        <v>0</v>
      </c>
      <c r="G19" s="48">
        <v>0</v>
      </c>
      <c r="H19" s="48">
        <v>0</v>
      </c>
      <c r="I19" s="49"/>
      <c r="J19" t="s">
        <v>151</v>
      </c>
      <c r="K19" s="48">
        <f t="shared" si="1"/>
        <v>0</v>
      </c>
      <c r="L19" s="232">
        <v>0</v>
      </c>
      <c r="M19" s="48">
        <v>0</v>
      </c>
      <c r="N19" s="48">
        <v>0</v>
      </c>
      <c r="O19" s="399">
        <v>0</v>
      </c>
    </row>
    <row r="20" spans="3:15" x14ac:dyDescent="0.2">
      <c r="C20" s="52" t="s">
        <v>280</v>
      </c>
      <c r="D20" s="53">
        <f t="shared" si="0"/>
        <v>0</v>
      </c>
      <c r="E20" s="238">
        <v>0</v>
      </c>
      <c r="F20" s="53">
        <v>0</v>
      </c>
      <c r="G20" s="53">
        <v>0</v>
      </c>
      <c r="H20" s="53">
        <v>0</v>
      </c>
      <c r="I20" s="58">
        <v>0</v>
      </c>
      <c r="J20" s="52" t="s">
        <v>221</v>
      </c>
      <c r="K20" s="53">
        <f t="shared" si="1"/>
        <v>0</v>
      </c>
      <c r="L20" s="238">
        <v>0</v>
      </c>
      <c r="M20" s="53">
        <v>0</v>
      </c>
      <c r="N20" s="53">
        <v>0</v>
      </c>
      <c r="O20" s="398">
        <v>0</v>
      </c>
    </row>
    <row r="21" spans="3:15" x14ac:dyDescent="0.2">
      <c r="C21" t="s">
        <v>243</v>
      </c>
      <c r="D21" s="48">
        <f t="shared" si="0"/>
        <v>0</v>
      </c>
      <c r="E21" s="232">
        <v>0</v>
      </c>
      <c r="F21" s="48">
        <v>0</v>
      </c>
      <c r="G21" s="48">
        <v>0</v>
      </c>
      <c r="H21" s="48">
        <v>0</v>
      </c>
      <c r="I21" s="49">
        <v>0</v>
      </c>
      <c r="J21" t="s">
        <v>254</v>
      </c>
      <c r="K21" s="48">
        <f t="shared" si="1"/>
        <v>0</v>
      </c>
      <c r="L21" s="232">
        <v>0</v>
      </c>
      <c r="M21" s="48">
        <v>0</v>
      </c>
      <c r="N21" s="48">
        <v>0</v>
      </c>
      <c r="O21" s="399">
        <v>0</v>
      </c>
    </row>
    <row r="22" spans="3:15" x14ac:dyDescent="0.2">
      <c r="C22" s="52" t="s">
        <v>304</v>
      </c>
      <c r="D22" s="53">
        <f t="shared" si="0"/>
        <v>0</v>
      </c>
      <c r="E22" s="238">
        <v>0</v>
      </c>
      <c r="F22" s="53">
        <v>0</v>
      </c>
      <c r="G22" s="53">
        <v>0</v>
      </c>
      <c r="H22" s="53">
        <v>0</v>
      </c>
      <c r="I22" s="274">
        <v>0</v>
      </c>
      <c r="J22" s="52" t="s">
        <v>284</v>
      </c>
      <c r="K22" s="53">
        <f t="shared" si="1"/>
        <v>0</v>
      </c>
      <c r="L22" s="238">
        <v>0</v>
      </c>
      <c r="M22" s="53">
        <v>0</v>
      </c>
      <c r="N22" s="53">
        <v>0</v>
      </c>
      <c r="O22" s="398">
        <v>0</v>
      </c>
    </row>
    <row r="23" spans="3:15" x14ac:dyDescent="0.2">
      <c r="C23" t="s">
        <v>235</v>
      </c>
      <c r="D23" s="48">
        <f t="shared" si="0"/>
        <v>0</v>
      </c>
      <c r="E23" s="232">
        <v>0</v>
      </c>
      <c r="F23" s="48">
        <v>0</v>
      </c>
      <c r="G23" s="48">
        <v>0</v>
      </c>
      <c r="H23" s="48">
        <v>0</v>
      </c>
      <c r="I23" s="49">
        <v>0</v>
      </c>
      <c r="J23" t="s">
        <v>188</v>
      </c>
      <c r="K23" s="48">
        <f t="shared" si="1"/>
        <v>0</v>
      </c>
      <c r="L23" s="232">
        <v>0</v>
      </c>
      <c r="M23" s="48">
        <v>0</v>
      </c>
      <c r="N23" s="48">
        <v>0</v>
      </c>
      <c r="O23" s="399">
        <v>0</v>
      </c>
    </row>
    <row r="24" spans="3:15" x14ac:dyDescent="0.2">
      <c r="C24" s="52" t="s">
        <v>195</v>
      </c>
      <c r="D24" s="53">
        <f t="shared" si="0"/>
        <v>0</v>
      </c>
      <c r="E24" s="238">
        <v>0</v>
      </c>
      <c r="F24" s="53">
        <v>0</v>
      </c>
      <c r="G24" s="53">
        <v>0</v>
      </c>
      <c r="H24" s="53">
        <v>0</v>
      </c>
      <c r="I24" s="58">
        <v>0</v>
      </c>
      <c r="J24" s="52" t="s">
        <v>220</v>
      </c>
      <c r="K24" s="53">
        <f t="shared" si="1"/>
        <v>0</v>
      </c>
      <c r="L24" s="238">
        <v>0</v>
      </c>
      <c r="M24" s="53">
        <v>0</v>
      </c>
      <c r="N24" s="53">
        <v>0</v>
      </c>
      <c r="O24" s="398">
        <v>0</v>
      </c>
    </row>
    <row r="25" spans="3:15" x14ac:dyDescent="0.2">
      <c r="C25" t="s">
        <v>155</v>
      </c>
      <c r="D25" s="48">
        <f t="shared" si="0"/>
        <v>0</v>
      </c>
      <c r="E25" s="232">
        <v>0</v>
      </c>
      <c r="F25" s="48">
        <v>0</v>
      </c>
      <c r="G25" s="48">
        <v>0</v>
      </c>
      <c r="H25" s="48">
        <v>0</v>
      </c>
      <c r="I25" s="275">
        <v>0</v>
      </c>
      <c r="J25" t="s">
        <v>146</v>
      </c>
      <c r="K25" s="48">
        <f t="shared" si="1"/>
        <v>0</v>
      </c>
      <c r="L25" s="232">
        <v>0</v>
      </c>
      <c r="M25" s="48">
        <v>0</v>
      </c>
      <c r="N25" s="48">
        <v>0</v>
      </c>
      <c r="O25" s="399">
        <v>0</v>
      </c>
    </row>
    <row r="26" spans="3:15" x14ac:dyDescent="0.2">
      <c r="C26" s="52" t="s">
        <v>203</v>
      </c>
      <c r="D26" s="53">
        <f t="shared" si="0"/>
        <v>0</v>
      </c>
      <c r="E26" s="238">
        <v>0</v>
      </c>
      <c r="F26" s="53">
        <v>0</v>
      </c>
      <c r="G26" s="53">
        <v>0</v>
      </c>
      <c r="H26" s="53">
        <v>0</v>
      </c>
      <c r="I26" s="58">
        <v>0</v>
      </c>
      <c r="J26" s="52" t="s">
        <v>225</v>
      </c>
      <c r="K26" s="53">
        <f t="shared" si="1"/>
        <v>0</v>
      </c>
      <c r="L26" s="238">
        <v>0</v>
      </c>
      <c r="M26" s="53">
        <v>0</v>
      </c>
      <c r="N26" s="53">
        <v>0</v>
      </c>
      <c r="O26" s="398">
        <v>0</v>
      </c>
    </row>
    <row r="27" spans="3:15" x14ac:dyDescent="0.2">
      <c r="C27" t="s">
        <v>253</v>
      </c>
      <c r="D27" s="48">
        <f t="shared" si="0"/>
        <v>0</v>
      </c>
      <c r="E27" s="232">
        <v>0</v>
      </c>
      <c r="F27" s="48">
        <v>0</v>
      </c>
      <c r="G27" s="48">
        <v>0</v>
      </c>
      <c r="H27" s="48">
        <v>0</v>
      </c>
      <c r="I27" s="49">
        <v>0</v>
      </c>
      <c r="J27" t="s">
        <v>307</v>
      </c>
      <c r="K27" s="48">
        <f t="shared" si="1"/>
        <v>0</v>
      </c>
      <c r="L27" s="232">
        <v>0</v>
      </c>
      <c r="M27" s="48">
        <v>0</v>
      </c>
      <c r="N27" s="48">
        <v>0</v>
      </c>
      <c r="O27" s="399">
        <v>0</v>
      </c>
    </row>
    <row r="28" spans="3:15" x14ac:dyDescent="0.2">
      <c r="C28" s="52" t="s">
        <v>314</v>
      </c>
      <c r="D28" s="53">
        <f t="shared" si="0"/>
        <v>0</v>
      </c>
      <c r="E28" s="238">
        <v>0</v>
      </c>
      <c r="F28" s="53">
        <v>0</v>
      </c>
      <c r="G28" s="53">
        <v>0</v>
      </c>
      <c r="H28" s="53">
        <v>0</v>
      </c>
      <c r="I28" s="58">
        <v>0</v>
      </c>
      <c r="J28" s="52" t="s">
        <v>287</v>
      </c>
      <c r="K28" s="53">
        <f t="shared" si="1"/>
        <v>0</v>
      </c>
      <c r="L28" s="238">
        <v>0</v>
      </c>
      <c r="M28" s="53">
        <v>0</v>
      </c>
      <c r="N28" s="53">
        <v>0</v>
      </c>
      <c r="O28" s="398">
        <v>0</v>
      </c>
    </row>
    <row r="29" spans="3:15" x14ac:dyDescent="0.2">
      <c r="C29" t="s">
        <v>246</v>
      </c>
      <c r="D29" s="48">
        <f t="shared" si="0"/>
        <v>0</v>
      </c>
      <c r="E29" s="232">
        <v>0</v>
      </c>
      <c r="F29" s="48">
        <v>0</v>
      </c>
      <c r="G29" s="48">
        <v>0</v>
      </c>
      <c r="H29" s="48">
        <v>0</v>
      </c>
      <c r="I29" s="49">
        <v>0</v>
      </c>
      <c r="J29" t="s">
        <v>178</v>
      </c>
      <c r="K29" s="48">
        <f t="shared" si="1"/>
        <v>0</v>
      </c>
      <c r="L29" s="232">
        <v>0</v>
      </c>
      <c r="M29" s="48">
        <v>0</v>
      </c>
      <c r="N29" s="48">
        <v>0</v>
      </c>
      <c r="O29" s="399">
        <v>0</v>
      </c>
    </row>
    <row r="30" spans="3:15" x14ac:dyDescent="0.2">
      <c r="C30" s="52" t="s">
        <v>271</v>
      </c>
      <c r="D30" s="53">
        <f t="shared" si="0"/>
        <v>0</v>
      </c>
      <c r="E30" s="238">
        <v>0</v>
      </c>
      <c r="F30" s="53">
        <v>0</v>
      </c>
      <c r="G30" s="53">
        <v>0</v>
      </c>
      <c r="H30" s="53">
        <v>0</v>
      </c>
      <c r="I30" s="58">
        <v>0</v>
      </c>
      <c r="J30" s="52" t="s">
        <v>175</v>
      </c>
      <c r="K30" s="53">
        <f t="shared" si="1"/>
        <v>0</v>
      </c>
      <c r="L30" s="238">
        <v>0</v>
      </c>
      <c r="M30" s="53">
        <v>0</v>
      </c>
      <c r="N30" s="53">
        <v>0</v>
      </c>
      <c r="O30" s="398">
        <v>0</v>
      </c>
    </row>
    <row r="31" spans="3:15" x14ac:dyDescent="0.2">
      <c r="C31" t="s">
        <v>239</v>
      </c>
      <c r="D31" s="48">
        <f t="shared" si="0"/>
        <v>0</v>
      </c>
      <c r="E31" s="232">
        <v>0</v>
      </c>
      <c r="F31" s="48">
        <v>0</v>
      </c>
      <c r="G31" s="48">
        <v>0</v>
      </c>
      <c r="H31" s="48">
        <v>0</v>
      </c>
      <c r="I31" s="49">
        <v>0</v>
      </c>
      <c r="J31" t="s">
        <v>212</v>
      </c>
      <c r="K31" s="48">
        <f t="shared" si="1"/>
        <v>0</v>
      </c>
      <c r="L31" s="232">
        <v>0</v>
      </c>
      <c r="M31" s="48">
        <v>0</v>
      </c>
      <c r="N31" s="48">
        <v>0</v>
      </c>
      <c r="O31" s="399">
        <v>0</v>
      </c>
    </row>
    <row r="32" spans="3:15" x14ac:dyDescent="0.2">
      <c r="C32" s="53" t="s">
        <v>90</v>
      </c>
      <c r="D32" s="53">
        <f t="shared" si="0"/>
        <v>1110334.319138</v>
      </c>
      <c r="E32" s="238">
        <v>999449.46045999997</v>
      </c>
      <c r="F32" s="53">
        <v>110884.858678</v>
      </c>
      <c r="G32" s="53">
        <v>0</v>
      </c>
      <c r="H32" s="53">
        <v>0</v>
      </c>
      <c r="I32" s="58">
        <v>0</v>
      </c>
      <c r="J32" s="52" t="s">
        <v>179</v>
      </c>
      <c r="K32" s="53">
        <f t="shared" si="1"/>
        <v>128992.97078999999</v>
      </c>
      <c r="L32" s="238">
        <v>81825.838424999994</v>
      </c>
      <c r="M32" s="53">
        <v>47167.132364999998</v>
      </c>
      <c r="N32" s="53">
        <v>0</v>
      </c>
      <c r="O32" s="398">
        <v>0</v>
      </c>
    </row>
    <row r="33" spans="3:15" x14ac:dyDescent="0.2">
      <c r="C33" t="s">
        <v>236</v>
      </c>
      <c r="D33" s="48">
        <f t="shared" si="0"/>
        <v>0</v>
      </c>
      <c r="E33" s="232">
        <v>0</v>
      </c>
      <c r="F33" s="48">
        <v>0</v>
      </c>
      <c r="G33" s="48">
        <v>0</v>
      </c>
      <c r="H33" s="48">
        <v>0</v>
      </c>
      <c r="I33" s="49">
        <v>0</v>
      </c>
      <c r="J33" t="s">
        <v>118</v>
      </c>
      <c r="K33" s="48">
        <f t="shared" si="1"/>
        <v>0</v>
      </c>
      <c r="L33" s="232">
        <v>0</v>
      </c>
      <c r="M33" s="48">
        <v>0</v>
      </c>
      <c r="N33" s="48">
        <v>0</v>
      </c>
      <c r="O33" s="399">
        <v>0</v>
      </c>
    </row>
    <row r="34" spans="3:15" x14ac:dyDescent="0.2">
      <c r="C34" s="52" t="s">
        <v>267</v>
      </c>
      <c r="D34" s="53">
        <f t="shared" si="0"/>
        <v>145567.550934</v>
      </c>
      <c r="E34" s="238">
        <v>80675.800344000003</v>
      </c>
      <c r="F34" s="53">
        <v>64891.750590000011</v>
      </c>
      <c r="G34" s="53">
        <v>0</v>
      </c>
      <c r="H34" s="53">
        <v>0</v>
      </c>
      <c r="I34" s="58">
        <v>0</v>
      </c>
      <c r="J34" s="53" t="s">
        <v>465</v>
      </c>
      <c r="K34" s="53">
        <f t="shared" si="1"/>
        <v>0</v>
      </c>
      <c r="L34" s="238">
        <v>0</v>
      </c>
      <c r="M34" s="53">
        <v>0</v>
      </c>
      <c r="N34" s="53">
        <v>0</v>
      </c>
      <c r="O34" s="398">
        <v>0</v>
      </c>
    </row>
    <row r="35" spans="3:15" x14ac:dyDescent="0.2">
      <c r="C35" t="s">
        <v>255</v>
      </c>
      <c r="D35" s="48">
        <f t="shared" si="0"/>
        <v>0</v>
      </c>
      <c r="E35" s="232">
        <v>0</v>
      </c>
      <c r="F35" s="48">
        <v>0</v>
      </c>
      <c r="G35" s="48">
        <v>0</v>
      </c>
      <c r="H35" s="48">
        <v>0</v>
      </c>
      <c r="I35" s="49">
        <v>0</v>
      </c>
      <c r="J35" t="s">
        <v>95</v>
      </c>
      <c r="K35" s="48">
        <f t="shared" si="1"/>
        <v>7932931.9605799997</v>
      </c>
      <c r="L35" s="232">
        <v>6684113.6478599999</v>
      </c>
      <c r="M35" s="48">
        <v>1248818.3127199998</v>
      </c>
      <c r="N35" s="48">
        <v>0</v>
      </c>
      <c r="O35" s="399">
        <v>0</v>
      </c>
    </row>
    <row r="36" spans="3:15" x14ac:dyDescent="0.2">
      <c r="C36" s="52" t="s">
        <v>148</v>
      </c>
      <c r="D36" s="53">
        <f t="shared" si="0"/>
        <v>0</v>
      </c>
      <c r="E36" s="238">
        <v>0</v>
      </c>
      <c r="F36" s="53">
        <v>0</v>
      </c>
      <c r="G36" s="53">
        <v>0</v>
      </c>
      <c r="H36" s="53">
        <v>0</v>
      </c>
      <c r="I36" s="58">
        <v>0</v>
      </c>
      <c r="J36" s="52" t="s">
        <v>138</v>
      </c>
      <c r="K36" s="53">
        <f t="shared" si="1"/>
        <v>0</v>
      </c>
      <c r="L36" s="238">
        <v>0</v>
      </c>
      <c r="M36" s="53">
        <v>0</v>
      </c>
      <c r="N36" s="53">
        <v>0</v>
      </c>
      <c r="O36" s="398">
        <v>0</v>
      </c>
    </row>
    <row r="37" spans="3:15" x14ac:dyDescent="0.2">
      <c r="C37" t="s">
        <v>201</v>
      </c>
      <c r="D37" s="48">
        <f t="shared" si="0"/>
        <v>0</v>
      </c>
      <c r="E37" s="232">
        <v>0</v>
      </c>
      <c r="F37" s="48">
        <v>0</v>
      </c>
      <c r="G37" s="48">
        <v>0</v>
      </c>
      <c r="H37" s="48">
        <v>0</v>
      </c>
      <c r="I37" s="49">
        <v>0</v>
      </c>
      <c r="J37" t="s">
        <v>140</v>
      </c>
      <c r="K37" s="48">
        <f t="shared" si="1"/>
        <v>0</v>
      </c>
      <c r="L37" s="232">
        <v>0</v>
      </c>
      <c r="M37" s="48">
        <v>0</v>
      </c>
      <c r="N37" s="48">
        <v>0</v>
      </c>
      <c r="O37" s="399">
        <v>0</v>
      </c>
    </row>
    <row r="38" spans="3:15" x14ac:dyDescent="0.2">
      <c r="C38" s="52" t="s">
        <v>206</v>
      </c>
      <c r="D38" s="53">
        <f t="shared" si="0"/>
        <v>0</v>
      </c>
      <c r="E38" s="238">
        <v>0</v>
      </c>
      <c r="F38" s="53">
        <v>0</v>
      </c>
      <c r="G38" s="53">
        <v>0</v>
      </c>
      <c r="H38" s="53">
        <v>0</v>
      </c>
      <c r="I38" s="58">
        <v>0</v>
      </c>
      <c r="J38" s="53" t="s">
        <v>228</v>
      </c>
      <c r="K38" s="53">
        <f t="shared" si="1"/>
        <v>946082.40600000008</v>
      </c>
      <c r="L38" s="238">
        <v>646226.00100000005</v>
      </c>
      <c r="M38" s="53">
        <v>299856.40500000003</v>
      </c>
      <c r="N38" s="53">
        <v>0</v>
      </c>
      <c r="O38" s="398">
        <v>0</v>
      </c>
    </row>
    <row r="39" spans="3:15" x14ac:dyDescent="0.2">
      <c r="C39" s="335" t="s">
        <v>100</v>
      </c>
      <c r="D39" s="48">
        <f t="shared" si="0"/>
        <v>312013.30390300008</v>
      </c>
      <c r="E39" s="232">
        <v>229945.22843600003</v>
      </c>
      <c r="F39" s="48">
        <v>82068.075467000017</v>
      </c>
      <c r="G39" s="48">
        <v>0</v>
      </c>
      <c r="H39" s="48">
        <v>0</v>
      </c>
      <c r="I39" s="49">
        <v>0</v>
      </c>
      <c r="J39" t="s">
        <v>232</v>
      </c>
      <c r="K39" s="48">
        <f t="shared" si="1"/>
        <v>101960.170698</v>
      </c>
      <c r="L39" s="232">
        <v>59314.378853999995</v>
      </c>
      <c r="M39" s="48">
        <v>42645.791843999999</v>
      </c>
      <c r="N39" s="48">
        <v>0</v>
      </c>
      <c r="O39" s="399">
        <v>0</v>
      </c>
    </row>
    <row r="40" spans="3:15" x14ac:dyDescent="0.2">
      <c r="C40" s="52" t="s">
        <v>136</v>
      </c>
      <c r="D40" s="53">
        <f t="shared" si="0"/>
        <v>0</v>
      </c>
      <c r="E40" s="238">
        <v>0</v>
      </c>
      <c r="F40" s="53">
        <v>0</v>
      </c>
      <c r="G40" s="53">
        <v>0</v>
      </c>
      <c r="H40" s="53">
        <v>0</v>
      </c>
      <c r="I40" s="58">
        <v>0</v>
      </c>
      <c r="J40" s="52" t="s">
        <v>116</v>
      </c>
      <c r="K40" s="53">
        <f t="shared" si="1"/>
        <v>0</v>
      </c>
      <c r="L40" s="238">
        <v>0</v>
      </c>
      <c r="M40" s="53">
        <v>0</v>
      </c>
      <c r="N40" s="53">
        <v>0</v>
      </c>
      <c r="O40" s="398">
        <v>0</v>
      </c>
    </row>
    <row r="41" spans="3:15" x14ac:dyDescent="0.2">
      <c r="C41" t="s">
        <v>184</v>
      </c>
      <c r="D41" s="48">
        <f t="shared" si="0"/>
        <v>0</v>
      </c>
      <c r="E41" s="232">
        <v>0</v>
      </c>
      <c r="F41" s="48">
        <v>0</v>
      </c>
      <c r="G41" s="48">
        <v>0</v>
      </c>
      <c r="H41" s="48">
        <v>0</v>
      </c>
      <c r="I41" s="49">
        <v>0</v>
      </c>
      <c r="J41" t="s">
        <v>244</v>
      </c>
      <c r="K41" s="48">
        <f t="shared" si="1"/>
        <v>0</v>
      </c>
      <c r="L41" s="232">
        <v>0</v>
      </c>
      <c r="M41" s="48">
        <v>0</v>
      </c>
      <c r="N41" s="48">
        <v>0</v>
      </c>
      <c r="O41" s="399">
        <v>0</v>
      </c>
    </row>
    <row r="42" spans="3:15" x14ac:dyDescent="0.2">
      <c r="C42" s="52" t="s">
        <v>230</v>
      </c>
      <c r="D42" s="53">
        <f t="shared" si="0"/>
        <v>0</v>
      </c>
      <c r="E42" s="238">
        <v>0</v>
      </c>
      <c r="F42" s="53">
        <v>0</v>
      </c>
      <c r="G42" s="53">
        <v>0</v>
      </c>
      <c r="H42" s="53">
        <v>0</v>
      </c>
      <c r="I42" s="58">
        <v>0</v>
      </c>
      <c r="J42" s="53" t="s">
        <v>114</v>
      </c>
      <c r="K42" s="53">
        <f t="shared" si="1"/>
        <v>0</v>
      </c>
      <c r="L42" s="238">
        <v>0</v>
      </c>
      <c r="M42" s="53">
        <v>0</v>
      </c>
      <c r="N42" s="53">
        <v>0</v>
      </c>
      <c r="O42" s="398">
        <v>0</v>
      </c>
    </row>
    <row r="43" spans="3:15" x14ac:dyDescent="0.2">
      <c r="C43" t="s">
        <v>93</v>
      </c>
      <c r="D43" s="48">
        <f t="shared" si="0"/>
        <v>0</v>
      </c>
      <c r="E43" s="232">
        <v>0</v>
      </c>
      <c r="F43" s="48">
        <v>0</v>
      </c>
      <c r="G43" s="48">
        <v>0</v>
      </c>
      <c r="H43" s="48">
        <v>0</v>
      </c>
      <c r="I43" s="49">
        <v>0</v>
      </c>
      <c r="J43" t="s">
        <v>56</v>
      </c>
      <c r="K43" s="48">
        <f t="shared" si="1"/>
        <v>2349445.3287</v>
      </c>
      <c r="L43" s="232">
        <v>1819417.474075</v>
      </c>
      <c r="M43" s="48">
        <v>530027.85462499992</v>
      </c>
      <c r="N43" s="48">
        <v>0</v>
      </c>
      <c r="O43" s="399">
        <v>0</v>
      </c>
    </row>
    <row r="44" spans="3:15" x14ac:dyDescent="0.2">
      <c r="C44" s="52" t="s">
        <v>210</v>
      </c>
      <c r="D44" s="53">
        <f t="shared" si="0"/>
        <v>0</v>
      </c>
      <c r="E44" s="238">
        <v>0</v>
      </c>
      <c r="F44" s="53">
        <v>0</v>
      </c>
      <c r="G44" s="53">
        <v>0</v>
      </c>
      <c r="H44" s="53">
        <v>0</v>
      </c>
      <c r="I44" s="58">
        <v>0</v>
      </c>
      <c r="J44" s="53" t="s">
        <v>127</v>
      </c>
      <c r="K44" s="53">
        <f t="shared" si="1"/>
        <v>0</v>
      </c>
      <c r="L44" s="238">
        <v>0</v>
      </c>
      <c r="M44" s="53">
        <v>0</v>
      </c>
      <c r="N44" s="53">
        <v>0</v>
      </c>
      <c r="O44" s="398">
        <v>0</v>
      </c>
    </row>
    <row r="45" spans="3:15" x14ac:dyDescent="0.2">
      <c r="C45" t="s">
        <v>190</v>
      </c>
      <c r="D45" s="48">
        <f t="shared" si="0"/>
        <v>0</v>
      </c>
      <c r="E45" s="232">
        <v>0</v>
      </c>
      <c r="F45" s="48">
        <v>0</v>
      </c>
      <c r="G45" s="48">
        <v>0</v>
      </c>
      <c r="H45" s="48">
        <v>0</v>
      </c>
      <c r="I45" s="49">
        <v>0</v>
      </c>
      <c r="J45" t="s">
        <v>97</v>
      </c>
      <c r="K45" s="48">
        <f t="shared" si="1"/>
        <v>0</v>
      </c>
      <c r="L45" s="232">
        <v>0</v>
      </c>
      <c r="M45" s="48">
        <v>0</v>
      </c>
      <c r="N45" s="48">
        <v>0</v>
      </c>
      <c r="O45" s="399">
        <v>0</v>
      </c>
    </row>
    <row r="46" spans="3:15" x14ac:dyDescent="0.2">
      <c r="C46" s="52" t="s">
        <v>276</v>
      </c>
      <c r="D46" s="53">
        <f t="shared" si="0"/>
        <v>0</v>
      </c>
      <c r="E46" s="238">
        <v>0</v>
      </c>
      <c r="F46" s="53">
        <v>0</v>
      </c>
      <c r="G46" s="53">
        <v>0</v>
      </c>
      <c r="H46" s="53">
        <v>0</v>
      </c>
      <c r="I46" s="58">
        <v>0</v>
      </c>
      <c r="J46" s="52" t="s">
        <v>58</v>
      </c>
      <c r="K46" s="53">
        <f t="shared" si="1"/>
        <v>0</v>
      </c>
      <c r="L46" s="238">
        <v>0</v>
      </c>
      <c r="M46" s="53">
        <v>0</v>
      </c>
      <c r="N46" s="53">
        <v>0</v>
      </c>
      <c r="O46" s="398">
        <v>0</v>
      </c>
    </row>
    <row r="47" spans="3:15" x14ac:dyDescent="0.2">
      <c r="C47" t="s">
        <v>191</v>
      </c>
      <c r="D47" s="48">
        <f t="shared" si="0"/>
        <v>0</v>
      </c>
      <c r="E47" s="232">
        <v>0</v>
      </c>
      <c r="F47" s="48">
        <v>0</v>
      </c>
      <c r="G47" s="48">
        <v>0</v>
      </c>
      <c r="H47" s="48">
        <v>0</v>
      </c>
      <c r="I47" s="49">
        <v>0</v>
      </c>
      <c r="J47" t="s">
        <v>218</v>
      </c>
      <c r="K47" s="48">
        <f t="shared" si="1"/>
        <v>0</v>
      </c>
      <c r="L47" s="232">
        <v>0</v>
      </c>
      <c r="M47" s="48">
        <v>0</v>
      </c>
      <c r="N47" s="48">
        <v>0</v>
      </c>
      <c r="O47" s="399">
        <v>0</v>
      </c>
    </row>
    <row r="48" spans="3:15" x14ac:dyDescent="0.2">
      <c r="C48" s="52" t="s">
        <v>260</v>
      </c>
      <c r="D48" s="53">
        <f t="shared" si="0"/>
        <v>0</v>
      </c>
      <c r="E48" s="238">
        <v>0</v>
      </c>
      <c r="F48" s="53">
        <v>0</v>
      </c>
      <c r="G48" s="53">
        <v>0</v>
      </c>
      <c r="H48" s="53">
        <v>0</v>
      </c>
      <c r="I48" s="58">
        <v>0</v>
      </c>
      <c r="J48" s="52" t="s">
        <v>289</v>
      </c>
      <c r="K48" s="53">
        <f t="shared" si="1"/>
        <v>0</v>
      </c>
      <c r="L48" s="238">
        <v>0</v>
      </c>
      <c r="M48" s="53">
        <v>0</v>
      </c>
      <c r="N48" s="53">
        <v>0</v>
      </c>
      <c r="O48" s="398">
        <v>0</v>
      </c>
    </row>
    <row r="49" spans="3:15" x14ac:dyDescent="0.2">
      <c r="C49" t="s">
        <v>274</v>
      </c>
      <c r="D49" s="48">
        <f t="shared" si="0"/>
        <v>0</v>
      </c>
      <c r="E49" s="232">
        <v>0</v>
      </c>
      <c r="F49" s="48">
        <v>0</v>
      </c>
      <c r="G49" s="48">
        <v>0</v>
      </c>
      <c r="H49" s="48">
        <v>0</v>
      </c>
      <c r="I49" s="49">
        <v>0</v>
      </c>
      <c r="J49" t="s">
        <v>124</v>
      </c>
      <c r="K49" s="48">
        <f t="shared" si="1"/>
        <v>0</v>
      </c>
      <c r="L49" s="232">
        <v>0</v>
      </c>
      <c r="M49" s="48">
        <v>0</v>
      </c>
      <c r="N49" s="48">
        <v>0</v>
      </c>
      <c r="O49" s="399">
        <v>0</v>
      </c>
    </row>
    <row r="50" spans="3:15" x14ac:dyDescent="0.2">
      <c r="C50" s="53" t="s">
        <v>278</v>
      </c>
      <c r="D50" s="53">
        <f t="shared" si="0"/>
        <v>538876.76537200005</v>
      </c>
      <c r="E50" s="238">
        <v>319553.50380800001</v>
      </c>
      <c r="F50" s="53">
        <v>219323.26156400001</v>
      </c>
      <c r="G50" s="53">
        <v>0</v>
      </c>
      <c r="H50" s="53">
        <v>0</v>
      </c>
      <c r="I50" s="58">
        <v>0</v>
      </c>
      <c r="J50" s="52" t="s">
        <v>59</v>
      </c>
      <c r="K50" s="53">
        <f t="shared" si="1"/>
        <v>0</v>
      </c>
      <c r="L50" s="238">
        <v>0</v>
      </c>
      <c r="M50" s="53">
        <v>0</v>
      </c>
      <c r="N50" s="53">
        <v>0</v>
      </c>
      <c r="O50" s="398">
        <v>0</v>
      </c>
    </row>
    <row r="51" spans="3:15" x14ac:dyDescent="0.2">
      <c r="C51" t="s">
        <v>257</v>
      </c>
      <c r="D51" s="48">
        <f t="shared" si="0"/>
        <v>0</v>
      </c>
      <c r="E51" s="232">
        <v>0</v>
      </c>
      <c r="F51" s="48">
        <v>0</v>
      </c>
      <c r="G51" s="48">
        <v>0</v>
      </c>
      <c r="H51" s="48">
        <v>0</v>
      </c>
      <c r="I51" s="49">
        <v>0</v>
      </c>
      <c r="J51" t="s">
        <v>186</v>
      </c>
      <c r="K51" s="48">
        <f t="shared" si="1"/>
        <v>0</v>
      </c>
      <c r="L51" s="232">
        <v>0</v>
      </c>
      <c r="M51" s="48">
        <v>0</v>
      </c>
      <c r="N51" s="48">
        <v>0</v>
      </c>
      <c r="O51" s="399">
        <v>0</v>
      </c>
    </row>
    <row r="52" spans="3:15" x14ac:dyDescent="0.2">
      <c r="C52" s="52" t="s">
        <v>181</v>
      </c>
      <c r="D52" s="53">
        <f t="shared" si="0"/>
        <v>302532.27501899994</v>
      </c>
      <c r="E52" s="238">
        <v>176920.25517499997</v>
      </c>
      <c r="F52" s="53">
        <v>125612.01984399998</v>
      </c>
      <c r="G52" s="53">
        <v>0</v>
      </c>
      <c r="H52" s="53">
        <v>0</v>
      </c>
      <c r="I52" s="58">
        <v>0</v>
      </c>
      <c r="J52" s="52" t="s">
        <v>204</v>
      </c>
      <c r="K52" s="53">
        <f t="shared" si="1"/>
        <v>0</v>
      </c>
      <c r="L52" s="238">
        <v>0</v>
      </c>
      <c r="M52" s="53">
        <v>0</v>
      </c>
      <c r="N52" s="53">
        <v>0</v>
      </c>
      <c r="O52" s="398">
        <v>0</v>
      </c>
    </row>
    <row r="53" spans="3:15" x14ac:dyDescent="0.2">
      <c r="C53" t="s">
        <v>263</v>
      </c>
      <c r="D53" s="48">
        <f t="shared" si="0"/>
        <v>0</v>
      </c>
      <c r="E53" s="232">
        <v>0</v>
      </c>
      <c r="F53" s="48">
        <v>0</v>
      </c>
      <c r="G53" s="48">
        <v>0</v>
      </c>
      <c r="H53" s="48">
        <v>0</v>
      </c>
      <c r="I53" s="49">
        <v>0</v>
      </c>
      <c r="J53" t="s">
        <v>250</v>
      </c>
      <c r="K53" s="48">
        <f t="shared" si="1"/>
        <v>0</v>
      </c>
      <c r="L53" s="232">
        <v>0</v>
      </c>
      <c r="M53" s="48">
        <v>0</v>
      </c>
      <c r="N53" s="48">
        <v>0</v>
      </c>
      <c r="O53" s="399">
        <v>0</v>
      </c>
    </row>
    <row r="54" spans="3:15" x14ac:dyDescent="0.2">
      <c r="C54" s="52" t="s">
        <v>144</v>
      </c>
      <c r="D54" s="53">
        <f t="shared" si="0"/>
        <v>0</v>
      </c>
      <c r="E54" s="238">
        <v>0</v>
      </c>
      <c r="F54" s="53">
        <v>0</v>
      </c>
      <c r="G54" s="53">
        <v>0</v>
      </c>
      <c r="H54" s="53">
        <v>0</v>
      </c>
      <c r="I54" s="58">
        <v>0</v>
      </c>
      <c r="J54" s="52" t="s">
        <v>86</v>
      </c>
      <c r="K54" s="53">
        <f t="shared" si="1"/>
        <v>0</v>
      </c>
      <c r="L54" s="238">
        <v>0</v>
      </c>
      <c r="M54" s="53">
        <v>0</v>
      </c>
      <c r="N54" s="53">
        <v>0</v>
      </c>
      <c r="O54" s="398">
        <v>0</v>
      </c>
    </row>
    <row r="55" spans="3:15" x14ac:dyDescent="0.2">
      <c r="C55" t="s">
        <v>292</v>
      </c>
      <c r="D55" s="48">
        <f t="shared" si="0"/>
        <v>0</v>
      </c>
      <c r="E55" s="232">
        <v>0</v>
      </c>
      <c r="F55" s="48">
        <v>0</v>
      </c>
      <c r="G55" s="48">
        <v>0</v>
      </c>
      <c r="H55" s="48">
        <v>0</v>
      </c>
      <c r="I55" s="49">
        <v>0</v>
      </c>
      <c r="J55" t="s">
        <v>99</v>
      </c>
      <c r="K55" s="48">
        <f t="shared" si="1"/>
        <v>0</v>
      </c>
      <c r="L55" s="232">
        <v>0</v>
      </c>
      <c r="M55" s="48">
        <v>0</v>
      </c>
      <c r="N55" s="48">
        <v>0</v>
      </c>
      <c r="O55" s="399">
        <v>0</v>
      </c>
    </row>
    <row r="56" spans="3:15" x14ac:dyDescent="0.2">
      <c r="C56" s="52" t="s">
        <v>193</v>
      </c>
      <c r="D56" s="53">
        <f t="shared" si="0"/>
        <v>0</v>
      </c>
      <c r="E56" s="238">
        <v>0</v>
      </c>
      <c r="F56" s="53">
        <v>0</v>
      </c>
      <c r="G56" s="53">
        <v>0</v>
      </c>
      <c r="H56" s="53">
        <v>0</v>
      </c>
      <c r="I56" s="58">
        <v>0</v>
      </c>
      <c r="J56" s="52" t="s">
        <v>311</v>
      </c>
      <c r="K56" s="53">
        <f t="shared" si="1"/>
        <v>0</v>
      </c>
      <c r="L56" s="238">
        <v>0</v>
      </c>
      <c r="M56" s="53">
        <v>0</v>
      </c>
      <c r="N56" s="53">
        <v>0</v>
      </c>
      <c r="O56" s="398">
        <v>0</v>
      </c>
    </row>
    <row r="57" spans="3:15" x14ac:dyDescent="0.2">
      <c r="C57" t="s">
        <v>78</v>
      </c>
      <c r="D57" s="48">
        <f t="shared" si="0"/>
        <v>0</v>
      </c>
      <c r="E57" s="232">
        <v>0</v>
      </c>
      <c r="F57" s="48">
        <v>0</v>
      </c>
      <c r="G57" s="48">
        <v>0</v>
      </c>
      <c r="H57" s="48">
        <v>0</v>
      </c>
      <c r="I57" s="49">
        <v>0</v>
      </c>
      <c r="J57" t="s">
        <v>133</v>
      </c>
      <c r="K57" s="48">
        <f t="shared" si="1"/>
        <v>0</v>
      </c>
      <c r="L57" s="232">
        <v>0</v>
      </c>
      <c r="M57" s="48">
        <v>0</v>
      </c>
      <c r="N57" s="48">
        <v>0</v>
      </c>
      <c r="O57" s="399">
        <v>0</v>
      </c>
    </row>
    <row r="58" spans="3:15" x14ac:dyDescent="0.2">
      <c r="C58" s="52" t="s">
        <v>105</v>
      </c>
      <c r="D58" s="53">
        <f t="shared" si="0"/>
        <v>0</v>
      </c>
      <c r="E58" s="238">
        <v>0</v>
      </c>
      <c r="F58" s="53">
        <v>0</v>
      </c>
      <c r="G58" s="53">
        <v>0</v>
      </c>
      <c r="H58" s="53">
        <v>0</v>
      </c>
      <c r="I58" s="58">
        <v>0</v>
      </c>
      <c r="J58" s="52" t="s">
        <v>169</v>
      </c>
      <c r="K58" s="53">
        <f t="shared" si="1"/>
        <v>0</v>
      </c>
      <c r="L58" s="238">
        <v>0</v>
      </c>
      <c r="M58" s="53">
        <v>0</v>
      </c>
      <c r="N58" s="53">
        <v>0</v>
      </c>
      <c r="O58" s="398">
        <v>0</v>
      </c>
    </row>
    <row r="59" spans="3:15" x14ac:dyDescent="0.2">
      <c r="C59" t="s">
        <v>103</v>
      </c>
      <c r="D59" s="48">
        <f t="shared" si="0"/>
        <v>0</v>
      </c>
      <c r="E59" s="232">
        <v>0</v>
      </c>
      <c r="F59" s="48">
        <v>0</v>
      </c>
      <c r="G59" s="48">
        <v>0</v>
      </c>
      <c r="H59" s="48">
        <v>0</v>
      </c>
      <c r="I59" s="49">
        <v>0</v>
      </c>
      <c r="J59" t="s">
        <v>291</v>
      </c>
      <c r="K59" s="48">
        <f t="shared" si="1"/>
        <v>0</v>
      </c>
      <c r="L59" s="232">
        <v>0</v>
      </c>
      <c r="M59" s="48">
        <v>0</v>
      </c>
      <c r="N59" s="48">
        <v>0</v>
      </c>
      <c r="O59" s="399">
        <v>0</v>
      </c>
    </row>
    <row r="60" spans="3:15" x14ac:dyDescent="0.2">
      <c r="C60" s="52" t="s">
        <v>199</v>
      </c>
      <c r="D60" s="53">
        <f t="shared" si="0"/>
        <v>0</v>
      </c>
      <c r="E60" s="238">
        <v>0</v>
      </c>
      <c r="F60" s="53">
        <v>0</v>
      </c>
      <c r="G60" s="53">
        <v>0</v>
      </c>
      <c r="H60" s="53">
        <v>0</v>
      </c>
      <c r="I60" s="58">
        <v>0</v>
      </c>
      <c r="J60" s="52" t="s">
        <v>216</v>
      </c>
      <c r="K60" s="53">
        <f t="shared" si="1"/>
        <v>0</v>
      </c>
      <c r="L60" s="238">
        <v>0</v>
      </c>
      <c r="M60" s="53">
        <v>0</v>
      </c>
      <c r="N60" s="53">
        <v>0</v>
      </c>
      <c r="O60" s="398">
        <v>0</v>
      </c>
    </row>
    <row r="61" spans="3:15" x14ac:dyDescent="0.2">
      <c r="C61" t="s">
        <v>240</v>
      </c>
      <c r="D61" s="48">
        <f t="shared" si="0"/>
        <v>0</v>
      </c>
      <c r="E61" s="232">
        <v>0</v>
      </c>
      <c r="F61" s="48">
        <v>0</v>
      </c>
      <c r="G61" s="48">
        <v>0</v>
      </c>
      <c r="H61" s="48">
        <v>0</v>
      </c>
      <c r="I61" s="49">
        <v>0</v>
      </c>
      <c r="J61" t="s">
        <v>130</v>
      </c>
      <c r="K61" s="48">
        <f t="shared" si="1"/>
        <v>0</v>
      </c>
      <c r="L61" s="232">
        <v>0</v>
      </c>
      <c r="M61" s="48">
        <v>0</v>
      </c>
      <c r="N61" s="48">
        <v>0</v>
      </c>
      <c r="O61" s="399">
        <v>0</v>
      </c>
    </row>
    <row r="62" spans="3:15" x14ac:dyDescent="0.2">
      <c r="C62" s="290" t="s">
        <v>534</v>
      </c>
      <c r="D62" s="392"/>
      <c r="E62" s="500">
        <v>0</v>
      </c>
      <c r="F62" s="392">
        <v>0</v>
      </c>
      <c r="G62" s="392">
        <v>0</v>
      </c>
      <c r="H62" s="392">
        <v>0</v>
      </c>
      <c r="I62" s="501"/>
      <c r="J62" s="425"/>
      <c r="K62" s="440"/>
      <c r="L62" s="440"/>
      <c r="M62" s="440"/>
      <c r="N62" s="440"/>
      <c r="O62" s="441"/>
    </row>
    <row r="63" spans="3:15" ht="13.5" thickBot="1" x14ac:dyDescent="0.25">
      <c r="C63" s="47" t="s">
        <v>153</v>
      </c>
      <c r="D63" s="233">
        <f t="shared" si="0"/>
        <v>0</v>
      </c>
      <c r="E63" s="234">
        <v>0</v>
      </c>
      <c r="F63" s="233">
        <v>0</v>
      </c>
      <c r="G63" s="389">
        <v>0</v>
      </c>
      <c r="H63" s="389">
        <v>0</v>
      </c>
      <c r="I63" s="63">
        <v>0</v>
      </c>
      <c r="J63" s="544" t="s">
        <v>0</v>
      </c>
      <c r="K63" s="545">
        <f>+ROUND(SUM(K10:K61)+SUM(D10:D63),0)</f>
        <v>100964082</v>
      </c>
      <c r="L63" s="545">
        <f t="shared" ref="L63:O63" si="2">+ROUND(SUM(L10:L61)+SUM(E10:E63),0)</f>
        <v>79603502</v>
      </c>
      <c r="M63" s="545">
        <f t="shared" si="2"/>
        <v>21360580</v>
      </c>
      <c r="N63" s="546">
        <f t="shared" si="2"/>
        <v>0</v>
      </c>
      <c r="O63" s="546">
        <f t="shared" si="2"/>
        <v>0</v>
      </c>
    </row>
    <row r="64" spans="3:15" x14ac:dyDescent="0.2">
      <c r="D64" s="48"/>
      <c r="E64" s="48"/>
      <c r="F64" s="48"/>
      <c r="G64" s="48"/>
      <c r="H64" s="48"/>
      <c r="J64" s="75"/>
      <c r="K64" s="48"/>
      <c r="L64" s="48"/>
      <c r="M64" s="48"/>
      <c r="N64" s="48"/>
      <c r="O64" s="48"/>
    </row>
    <row r="65" spans="3:22" x14ac:dyDescent="0.2">
      <c r="C65" s="6" t="s">
        <v>337</v>
      </c>
    </row>
    <row r="66" spans="3:22" x14ac:dyDescent="0.2">
      <c r="C66" s="6"/>
      <c r="K66" s="6"/>
    </row>
    <row r="67" spans="3:22" ht="13.5" thickBot="1" x14ac:dyDescent="0.25">
      <c r="C67" s="6"/>
    </row>
    <row r="68" spans="3:22" x14ac:dyDescent="0.2">
      <c r="C68" s="6"/>
      <c r="I68" s="472"/>
      <c r="J68" s="473" t="s">
        <v>463</v>
      </c>
      <c r="K68" s="474">
        <f>K63</f>
        <v>100964082</v>
      </c>
      <c r="L68" s="455"/>
      <c r="M68" s="465"/>
      <c r="U68" s="502"/>
      <c r="V68" s="503"/>
    </row>
    <row r="69" spans="3:22" x14ac:dyDescent="0.2">
      <c r="C69" s="6"/>
      <c r="I69" s="475"/>
      <c r="J69" s="452" t="s">
        <v>528</v>
      </c>
      <c r="K69" s="476">
        <f>'table 1 &amp; 2'!B84</f>
        <v>2579135991.5108781</v>
      </c>
      <c r="L69" s="453"/>
      <c r="M69" s="467"/>
    </row>
    <row r="70" spans="3:22" x14ac:dyDescent="0.2">
      <c r="C70" s="6"/>
      <c r="I70" s="475"/>
      <c r="J70" s="477"/>
      <c r="K70" s="476"/>
      <c r="L70" s="453"/>
      <c r="M70" s="467"/>
    </row>
    <row r="71" spans="3:22" ht="13.5" thickBot="1" x14ac:dyDescent="0.25">
      <c r="C71" s="6"/>
      <c r="I71" s="458"/>
      <c r="J71" s="478" t="s">
        <v>553</v>
      </c>
      <c r="K71" s="459"/>
      <c r="L71" s="459"/>
      <c r="M71" s="479">
        <f>K68/K69</f>
        <v>3.9146474762214632E-2</v>
      </c>
    </row>
    <row r="72" spans="3:22" ht="13.5" thickBot="1" x14ac:dyDescent="0.25">
      <c r="C72" s="6"/>
    </row>
    <row r="73" spans="3:22" ht="13.5" thickBot="1" x14ac:dyDescent="0.25">
      <c r="C73" s="6"/>
      <c r="J73" s="480">
        <f>L63/K63</f>
        <v>0.78843387096809336</v>
      </c>
      <c r="K73" s="481" t="s">
        <v>547</v>
      </c>
      <c r="L73" s="446"/>
      <c r="M73" s="446"/>
    </row>
    <row r="74" spans="3:22" x14ac:dyDescent="0.2">
      <c r="C74" s="6"/>
      <c r="K74" s="335"/>
    </row>
    <row r="75" spans="3:22" x14ac:dyDescent="0.2">
      <c r="C75" s="6"/>
    </row>
    <row r="76" spans="3:22" x14ac:dyDescent="0.2">
      <c r="C76" s="6"/>
    </row>
    <row r="77" spans="3:22" x14ac:dyDescent="0.2">
      <c r="C77" s="6"/>
    </row>
    <row r="78" spans="3:22" x14ac:dyDescent="0.2">
      <c r="C78" s="6"/>
    </row>
    <row r="79" spans="3:22" x14ac:dyDescent="0.2">
      <c r="C79" s="6"/>
    </row>
    <row r="80" spans="3:22" x14ac:dyDescent="0.2">
      <c r="C80" s="6"/>
    </row>
    <row r="81" spans="3:15" x14ac:dyDescent="0.2">
      <c r="C81" s="6"/>
    </row>
    <row r="82" spans="3:15" x14ac:dyDescent="0.2">
      <c r="C82" s="6"/>
    </row>
    <row r="83" spans="3:15" x14ac:dyDescent="0.2">
      <c r="C83" s="6"/>
    </row>
    <row r="84" spans="3:15" x14ac:dyDescent="0.2">
      <c r="C84" s="6"/>
    </row>
    <row r="85" spans="3:15" x14ac:dyDescent="0.2">
      <c r="C85" s="6"/>
    </row>
    <row r="86" spans="3:15" x14ac:dyDescent="0.2">
      <c r="C86" s="6"/>
    </row>
    <row r="87" spans="3:15" x14ac:dyDescent="0.2">
      <c r="C87" s="6"/>
    </row>
    <row r="88" spans="3:15" x14ac:dyDescent="0.2">
      <c r="C88" s="6"/>
    </row>
    <row r="89" spans="3:15" x14ac:dyDescent="0.2">
      <c r="C89" s="6"/>
    </row>
    <row r="90" spans="3:15" x14ac:dyDescent="0.2">
      <c r="C90" s="6"/>
    </row>
    <row r="91" spans="3:15" x14ac:dyDescent="0.2">
      <c r="C91" s="6"/>
    </row>
    <row r="92" spans="3:15" x14ac:dyDescent="0.2">
      <c r="C92" s="6"/>
    </row>
    <row r="93" spans="3:15" x14ac:dyDescent="0.2">
      <c r="C93" s="6"/>
    </row>
    <row r="95" spans="3:15" ht="18" x14ac:dyDescent="0.25">
      <c r="C95" s="598">
        <f>+'Table 21 part 2'!C64:K64+1</f>
        <v>26</v>
      </c>
      <c r="D95" s="598"/>
      <c r="E95" s="598"/>
      <c r="F95" s="598"/>
      <c r="G95" s="598"/>
      <c r="H95" s="598"/>
      <c r="I95" s="598"/>
      <c r="J95" s="598"/>
      <c r="K95" s="598"/>
      <c r="L95" s="598"/>
      <c r="M95" s="598"/>
      <c r="N95" s="598"/>
      <c r="O95" s="598"/>
    </row>
    <row r="96" spans="3:15" x14ac:dyDescent="0.2">
      <c r="K96" s="48"/>
      <c r="N96" s="48"/>
    </row>
    <row r="97" spans="4:15" x14ac:dyDescent="0.2"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</sheetData>
  <mergeCells count="1">
    <mergeCell ref="C95:O95"/>
  </mergeCells>
  <phoneticPr fontId="38" type="noConversion"/>
  <pageMargins left="0.75" right="0.75" top="1" bottom="1" header="0.5" footer="0.5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B1:T125"/>
  <sheetViews>
    <sheetView showGridLines="0" zoomScale="85" workbookViewId="0">
      <selection activeCell="C27" sqref="C27"/>
    </sheetView>
  </sheetViews>
  <sheetFormatPr defaultRowHeight="12.75" x14ac:dyDescent="0.2"/>
  <cols>
    <col min="2" max="2" width="42.42578125" customWidth="1"/>
    <col min="3" max="3" width="18" customWidth="1"/>
    <col min="4" max="5" width="18.42578125" customWidth="1"/>
    <col min="6" max="6" width="17.5703125" customWidth="1"/>
    <col min="7" max="7" width="7.7109375" customWidth="1"/>
    <col min="8" max="8" width="16.5703125" customWidth="1"/>
    <col min="9" max="9" width="12.42578125" customWidth="1"/>
    <col min="10" max="10" width="14.140625" customWidth="1"/>
    <col min="11" max="11" width="12.7109375" customWidth="1"/>
    <col min="12" max="12" width="7.5703125" customWidth="1"/>
    <col min="13" max="13" width="16.5703125" customWidth="1"/>
    <col min="14" max="14" width="27.85546875" customWidth="1"/>
    <col min="15" max="15" width="24.28515625" customWidth="1"/>
    <col min="16" max="16" width="21.5703125" customWidth="1"/>
  </cols>
  <sheetData>
    <row r="1" spans="2:13" ht="20.25" x14ac:dyDescent="0.3">
      <c r="B1" s="102" t="s">
        <v>444</v>
      </c>
      <c r="C1" s="6"/>
      <c r="D1" s="6"/>
      <c r="E1" s="6"/>
      <c r="F1" s="6"/>
      <c r="G1" s="6"/>
      <c r="H1" s="6"/>
      <c r="I1" s="6"/>
      <c r="J1" s="11"/>
    </row>
    <row r="2" spans="2:13" ht="20.25" x14ac:dyDescent="0.3">
      <c r="B2" s="103" t="s">
        <v>497</v>
      </c>
      <c r="C2" s="102" t="str">
        <f>'table 1 &amp; 2'!C2</f>
        <v>2022 Tax Year</v>
      </c>
      <c r="D2" s="6"/>
      <c r="E2" s="6"/>
      <c r="F2" s="6"/>
      <c r="G2" s="6"/>
      <c r="H2" s="6"/>
      <c r="I2" s="6"/>
      <c r="J2" s="6"/>
    </row>
    <row r="3" spans="2:13" ht="18" x14ac:dyDescent="0.25">
      <c r="B3" s="5"/>
      <c r="C3" s="6"/>
      <c r="D3" s="6"/>
      <c r="E3" s="6"/>
      <c r="F3" s="6"/>
      <c r="G3" s="6"/>
      <c r="H3" s="6"/>
      <c r="I3" s="6"/>
      <c r="J3" s="6"/>
    </row>
    <row r="4" spans="2:13" ht="20.25" x14ac:dyDescent="0.3">
      <c r="B4" s="103" t="s">
        <v>486</v>
      </c>
      <c r="G4" s="102" t="str">
        <f>$C$2</f>
        <v>2022 Tax Year</v>
      </c>
    </row>
    <row r="5" spans="2:13" ht="9.9499999999999993" customHeight="1" x14ac:dyDescent="0.3">
      <c r="B5" s="103"/>
    </row>
    <row r="6" spans="2:13" ht="15" x14ac:dyDescent="0.2">
      <c r="B6" s="2"/>
      <c r="C6" s="164"/>
      <c r="D6" s="2"/>
      <c r="E6" s="2"/>
      <c r="F6" s="2"/>
      <c r="G6" s="379" t="s">
        <v>3</v>
      </c>
      <c r="H6" s="2"/>
      <c r="I6" s="2"/>
      <c r="J6" s="2"/>
    </row>
    <row r="7" spans="2:13" ht="15" x14ac:dyDescent="0.2">
      <c r="B7" s="2"/>
      <c r="C7" s="12"/>
      <c r="D7" s="12"/>
      <c r="E7" s="12"/>
      <c r="F7" s="158" t="s">
        <v>4</v>
      </c>
      <c r="G7" s="13"/>
      <c r="H7" s="12"/>
      <c r="I7" s="12"/>
      <c r="J7" s="12" t="s">
        <v>4</v>
      </c>
    </row>
    <row r="8" spans="2:13" ht="15" x14ac:dyDescent="0.2">
      <c r="B8" s="2"/>
      <c r="C8" s="12"/>
      <c r="D8" s="12"/>
      <c r="E8" s="158" t="s">
        <v>379</v>
      </c>
      <c r="F8" s="158" t="s">
        <v>6</v>
      </c>
      <c r="G8" s="13"/>
      <c r="H8" s="12"/>
      <c r="I8" s="12" t="s">
        <v>5</v>
      </c>
      <c r="J8" s="12" t="s">
        <v>6</v>
      </c>
    </row>
    <row r="9" spans="2:13" ht="15.75" thickBot="1" x14ac:dyDescent="0.25">
      <c r="B9" s="14" t="s">
        <v>7</v>
      </c>
      <c r="C9" s="15" t="s">
        <v>63</v>
      </c>
      <c r="D9" s="15" t="s">
        <v>9</v>
      </c>
      <c r="E9" s="115" t="s">
        <v>9</v>
      </c>
      <c r="F9" s="115" t="s">
        <v>10</v>
      </c>
      <c r="G9" s="16" t="s">
        <v>8</v>
      </c>
      <c r="H9" s="15" t="s">
        <v>9</v>
      </c>
      <c r="I9" s="15" t="s">
        <v>9</v>
      </c>
      <c r="J9" s="15" t="s">
        <v>10</v>
      </c>
    </row>
    <row r="10" spans="2:13" ht="15.75" x14ac:dyDescent="0.25">
      <c r="B10" s="3" t="s">
        <v>11</v>
      </c>
      <c r="C10" s="159">
        <f>SUM(D10:F10)</f>
        <v>120462282.80656001</v>
      </c>
      <c r="D10" s="159">
        <v>58761829.952159993</v>
      </c>
      <c r="E10" s="159">
        <v>30198124.94496002</v>
      </c>
      <c r="F10" s="159">
        <v>31502327.90944</v>
      </c>
      <c r="G10" s="160">
        <f>ROUND(C10/$C$32*100,1)</f>
        <v>4.7</v>
      </c>
      <c r="H10" s="161">
        <f t="shared" ref="H10:H24" si="0">+D10/$C$32*100</f>
        <v>2.2783532991502646</v>
      </c>
      <c r="I10" s="161">
        <f t="shared" ref="I10:I24" si="1">+E10/$C$32*100</f>
        <v>1.1708620656047577</v>
      </c>
      <c r="J10" s="161">
        <f t="shared" ref="J10:J24" si="2">+F10/$C$32*100</f>
        <v>1.2214295024817861</v>
      </c>
      <c r="K10" s="48"/>
    </row>
    <row r="11" spans="2:13" ht="15.75" thickBot="1" x14ac:dyDescent="0.25">
      <c r="B11" s="17" t="s">
        <v>12</v>
      </c>
      <c r="C11" s="162">
        <f t="shared" ref="C11:C31" si="3">SUM(D11:F11)</f>
        <v>740634816.24999595</v>
      </c>
      <c r="D11" s="162">
        <v>296959750.59712511</v>
      </c>
      <c r="E11" s="162">
        <v>227902727.32727093</v>
      </c>
      <c r="F11" s="162">
        <v>215772338.32559997</v>
      </c>
      <c r="G11" s="163">
        <f t="shared" ref="G11:G32" si="4">ROUND(C11/$C$32*100,1)</f>
        <v>28.7</v>
      </c>
      <c r="H11" s="153">
        <f t="shared" si="0"/>
        <v>11.513923716103225</v>
      </c>
      <c r="I11" s="153">
        <f t="shared" si="1"/>
        <v>8.8363982386893714</v>
      </c>
      <c r="J11" s="153">
        <f t="shared" si="2"/>
        <v>8.3660706157335571</v>
      </c>
      <c r="K11" s="48"/>
    </row>
    <row r="12" spans="2:13" ht="15" x14ac:dyDescent="0.2">
      <c r="B12" s="2" t="s">
        <v>13</v>
      </c>
      <c r="C12" s="164">
        <f t="shared" si="3"/>
        <v>54192879.004637003</v>
      </c>
      <c r="D12" s="164">
        <v>40836142.866661005</v>
      </c>
      <c r="E12" s="164">
        <v>11658364.452881999</v>
      </c>
      <c r="F12" s="164">
        <v>1698371.6850940001</v>
      </c>
      <c r="G12" s="165">
        <f t="shared" si="4"/>
        <v>2.1</v>
      </c>
      <c r="H12" s="149">
        <f t="shared" si="0"/>
        <v>1.5833264706115346</v>
      </c>
      <c r="I12" s="149">
        <f t="shared" si="1"/>
        <v>0.45202596882270002</v>
      </c>
      <c r="J12" s="149">
        <f t="shared" si="2"/>
        <v>6.5850412335143299E-2</v>
      </c>
      <c r="K12" s="48"/>
      <c r="L12" s="463" t="s">
        <v>531</v>
      </c>
      <c r="M12" s="465"/>
    </row>
    <row r="13" spans="2:13" ht="15.75" thickBot="1" x14ac:dyDescent="0.25">
      <c r="B13" s="17" t="s">
        <v>14</v>
      </c>
      <c r="C13" s="162">
        <f t="shared" si="3"/>
        <v>8392375.5157699995</v>
      </c>
      <c r="D13" s="162">
        <v>6000498.7087500002</v>
      </c>
      <c r="E13" s="162">
        <v>2391876.8070200002</v>
      </c>
      <c r="F13" s="162">
        <v>0</v>
      </c>
      <c r="G13" s="163">
        <f t="shared" si="4"/>
        <v>0.3</v>
      </c>
      <c r="H13" s="153">
        <f t="shared" si="0"/>
        <v>0.23265538259713325</v>
      </c>
      <c r="I13" s="153">
        <f t="shared" si="1"/>
        <v>9.2739460613661534E-2</v>
      </c>
      <c r="J13" s="153">
        <f t="shared" si="2"/>
        <v>0</v>
      </c>
      <c r="K13" s="48"/>
      <c r="L13" s="482">
        <f>G11+G15</f>
        <v>36.700000000000003</v>
      </c>
      <c r="M13" s="469"/>
    </row>
    <row r="14" spans="2:13" ht="15.75" x14ac:dyDescent="0.25">
      <c r="B14" s="3" t="s">
        <v>15</v>
      </c>
      <c r="C14" s="159">
        <f>SUM(D14:F14)</f>
        <v>803220070.77040315</v>
      </c>
      <c r="D14" s="159">
        <f>SUM(D11:D13)</f>
        <v>343796392.17253613</v>
      </c>
      <c r="E14" s="159">
        <f t="shared" ref="E14:F14" si="5">SUM(E11:E13)</f>
        <v>241952968.58717293</v>
      </c>
      <c r="F14" s="159">
        <f t="shared" si="5"/>
        <v>217470710.01069397</v>
      </c>
      <c r="G14" s="160">
        <f t="shared" si="4"/>
        <v>31.1</v>
      </c>
      <c r="H14" s="161">
        <f t="shared" si="0"/>
        <v>13.329905569311896</v>
      </c>
      <c r="I14" s="161">
        <f t="shared" si="1"/>
        <v>9.3811636681257333</v>
      </c>
      <c r="J14" s="161">
        <f t="shared" si="2"/>
        <v>8.431921028068702</v>
      </c>
      <c r="K14" s="48"/>
    </row>
    <row r="15" spans="2:13" ht="15" x14ac:dyDescent="0.2">
      <c r="B15" s="17" t="s">
        <v>16</v>
      </c>
      <c r="C15" s="162">
        <f t="shared" si="3"/>
        <v>205670122.08890703</v>
      </c>
      <c r="D15" s="162">
        <v>149648200.29503807</v>
      </c>
      <c r="E15" s="162">
        <v>55331577.73814097</v>
      </c>
      <c r="F15" s="162">
        <v>690344.05572800001</v>
      </c>
      <c r="G15" s="163">
        <f t="shared" si="4"/>
        <v>8</v>
      </c>
      <c r="H15" s="153">
        <f t="shared" si="0"/>
        <v>5.8022609427187648</v>
      </c>
      <c r="I15" s="153">
        <f t="shared" si="1"/>
        <v>2.1453532469890155</v>
      </c>
      <c r="J15" s="153">
        <f t="shared" si="2"/>
        <v>2.6766485288105765E-2</v>
      </c>
      <c r="K15" s="48"/>
    </row>
    <row r="16" spans="2:13" ht="15" x14ac:dyDescent="0.2">
      <c r="B16" s="2" t="s">
        <v>17</v>
      </c>
      <c r="C16" s="164">
        <f t="shared" si="3"/>
        <v>100964082.24848503</v>
      </c>
      <c r="D16" s="164">
        <v>79603502.400389031</v>
      </c>
      <c r="E16" s="164">
        <v>21360579.848096002</v>
      </c>
      <c r="F16" s="164">
        <v>0</v>
      </c>
      <c r="G16" s="165">
        <f t="shared" si="4"/>
        <v>3.9</v>
      </c>
      <c r="H16" s="149">
        <f t="shared" si="0"/>
        <v>3.0864406786769183</v>
      </c>
      <c r="I16" s="149">
        <f t="shared" si="1"/>
        <v>0.82820680717897321</v>
      </c>
      <c r="J16" s="149">
        <f t="shared" si="2"/>
        <v>0</v>
      </c>
      <c r="K16" s="48"/>
    </row>
    <row r="17" spans="2:13" ht="15" x14ac:dyDescent="0.2">
      <c r="B17" s="17" t="s">
        <v>18</v>
      </c>
      <c r="C17" s="162">
        <f t="shared" si="3"/>
        <v>5553797.7585710008</v>
      </c>
      <c r="D17" s="162">
        <v>4053767.9665710004</v>
      </c>
      <c r="E17" s="162">
        <v>1500029.7919999999</v>
      </c>
      <c r="F17" s="162">
        <v>0</v>
      </c>
      <c r="G17" s="163">
        <f t="shared" si="4"/>
        <v>0.2</v>
      </c>
      <c r="H17" s="153">
        <f t="shared" si="0"/>
        <v>0.15717542541044027</v>
      </c>
      <c r="I17" s="153">
        <f t="shared" si="1"/>
        <v>5.8160166696804162E-2</v>
      </c>
      <c r="J17" s="153">
        <f t="shared" si="2"/>
        <v>0</v>
      </c>
      <c r="K17" s="48"/>
    </row>
    <row r="18" spans="2:13" ht="15.75" x14ac:dyDescent="0.25">
      <c r="B18" s="3" t="s">
        <v>19</v>
      </c>
      <c r="C18" s="159">
        <f t="shared" si="3"/>
        <v>312188002.09596312</v>
      </c>
      <c r="D18" s="159">
        <f>SUM(D15:D17)</f>
        <v>233305470.66199812</v>
      </c>
      <c r="E18" s="159">
        <f t="shared" ref="E18:F18" si="6">SUM(E15:E17)</f>
        <v>78192187.378236964</v>
      </c>
      <c r="F18" s="159">
        <f t="shared" si="6"/>
        <v>690344.05572800001</v>
      </c>
      <c r="G18" s="160">
        <f t="shared" si="4"/>
        <v>12.1</v>
      </c>
      <c r="H18" s="161">
        <f t="shared" si="0"/>
        <v>9.0458770468061243</v>
      </c>
      <c r="I18" s="161">
        <f t="shared" si="1"/>
        <v>3.0317202208647926</v>
      </c>
      <c r="J18" s="161">
        <f t="shared" si="2"/>
        <v>2.6766485288105765E-2</v>
      </c>
      <c r="K18" s="48"/>
      <c r="L18" s="108"/>
    </row>
    <row r="19" spans="2:13" ht="15.75" thickBot="1" x14ac:dyDescent="0.25">
      <c r="B19" s="17" t="s">
        <v>20</v>
      </c>
      <c r="C19" s="162">
        <f t="shared" si="3"/>
        <v>53044351.671748996</v>
      </c>
      <c r="D19" s="162">
        <v>26695695.439810999</v>
      </c>
      <c r="E19" s="162">
        <v>14685286.758078</v>
      </c>
      <c r="F19" s="162">
        <v>11663369.473859999</v>
      </c>
      <c r="G19" s="163">
        <f t="shared" si="4"/>
        <v>2.1</v>
      </c>
      <c r="H19" s="153">
        <f t="shared" si="0"/>
        <v>1.0350635068363514</v>
      </c>
      <c r="I19" s="153">
        <f t="shared" si="1"/>
        <v>0.56938784175840385</v>
      </c>
      <c r="J19" s="153">
        <f t="shared" si="2"/>
        <v>0.4522200268713828</v>
      </c>
      <c r="K19" s="48"/>
    </row>
    <row r="20" spans="2:13" ht="15" x14ac:dyDescent="0.2">
      <c r="B20" s="2" t="s">
        <v>21</v>
      </c>
      <c r="C20" s="164">
        <f t="shared" si="3"/>
        <v>370725344.17072392</v>
      </c>
      <c r="D20" s="164">
        <v>212882253.10698292</v>
      </c>
      <c r="E20" s="164">
        <v>106032340.46304598</v>
      </c>
      <c r="F20" s="164">
        <v>51810750.600694999</v>
      </c>
      <c r="G20" s="165">
        <f t="shared" si="4"/>
        <v>14.4</v>
      </c>
      <c r="H20" s="149">
        <f t="shared" si="0"/>
        <v>8.2540142825999183</v>
      </c>
      <c r="I20" s="149">
        <f t="shared" si="1"/>
        <v>4.111157411320967</v>
      </c>
      <c r="J20" s="149">
        <f t="shared" si="2"/>
        <v>2.0088413628140582</v>
      </c>
      <c r="K20" s="48"/>
      <c r="L20" s="463" t="s">
        <v>532</v>
      </c>
      <c r="M20" s="465"/>
    </row>
    <row r="21" spans="2:13" ht="15.75" thickBot="1" x14ac:dyDescent="0.25">
      <c r="B21" s="17" t="s">
        <v>22</v>
      </c>
      <c r="C21" s="162">
        <f t="shared" si="3"/>
        <v>168912072.89713898</v>
      </c>
      <c r="D21" s="162">
        <v>80558549.559176981</v>
      </c>
      <c r="E21" s="162">
        <v>42422212.477045998</v>
      </c>
      <c r="F21" s="162">
        <v>45931310.860916004</v>
      </c>
      <c r="G21" s="163">
        <f t="shared" si="4"/>
        <v>6.5</v>
      </c>
      <c r="H21" s="153">
        <f t="shared" si="0"/>
        <v>3.1234704111893352</v>
      </c>
      <c r="I21" s="153">
        <f t="shared" si="1"/>
        <v>1.6448226311709422</v>
      </c>
      <c r="J21" s="153">
        <f t="shared" si="2"/>
        <v>1.780879760202527</v>
      </c>
      <c r="K21" s="48"/>
      <c r="L21" s="482">
        <f>G12+G16+G20+G26+G29</f>
        <v>21.9</v>
      </c>
      <c r="M21" s="469"/>
    </row>
    <row r="22" spans="2:13" ht="15" x14ac:dyDescent="0.2">
      <c r="B22" s="2" t="s">
        <v>23</v>
      </c>
      <c r="C22" s="164">
        <f t="shared" si="3"/>
        <v>158921751.32885498</v>
      </c>
      <c r="D22" s="164">
        <v>92000936.020655945</v>
      </c>
      <c r="E22" s="164">
        <v>37723375.845659018</v>
      </c>
      <c r="F22" s="164">
        <v>29197439.462540008</v>
      </c>
      <c r="G22" s="165">
        <f t="shared" si="4"/>
        <v>6.2</v>
      </c>
      <c r="H22" s="149">
        <f t="shared" si="0"/>
        <v>3.5671223356764941</v>
      </c>
      <c r="I22" s="149">
        <f t="shared" si="1"/>
        <v>1.4626361684619957</v>
      </c>
      <c r="J22" s="149">
        <f t="shared" si="2"/>
        <v>1.1320628132305621</v>
      </c>
      <c r="K22" s="48"/>
    </row>
    <row r="23" spans="2:13" ht="15" x14ac:dyDescent="0.2">
      <c r="B23" s="17" t="s">
        <v>24</v>
      </c>
      <c r="C23" s="162">
        <f t="shared" si="3"/>
        <v>51474223.973869994</v>
      </c>
      <c r="D23" s="162">
        <v>17473266.377411999</v>
      </c>
      <c r="E23" s="162">
        <v>13377745.645742999</v>
      </c>
      <c r="F23" s="162">
        <v>20623211.950714994</v>
      </c>
      <c r="G23" s="163">
        <f t="shared" si="4"/>
        <v>2</v>
      </c>
      <c r="H23" s="153">
        <f t="shared" si="0"/>
        <v>0.6774852677378993</v>
      </c>
      <c r="I23" s="153">
        <f t="shared" si="1"/>
        <v>0.51869097596153546</v>
      </c>
      <c r="J23" s="153">
        <f t="shared" si="2"/>
        <v>0.79961708179000479</v>
      </c>
      <c r="K23" s="48"/>
    </row>
    <row r="24" spans="2:13" ht="15.75" x14ac:dyDescent="0.25">
      <c r="B24" s="3" t="s">
        <v>25</v>
      </c>
      <c r="C24" s="159">
        <f t="shared" si="3"/>
        <v>803077744.04233682</v>
      </c>
      <c r="D24" s="159">
        <f>SUM(D19:D23)</f>
        <v>429610700.50403881</v>
      </c>
      <c r="E24" s="159">
        <f t="shared" ref="E24:F24" si="7">SUM(E19:E23)</f>
        <v>214240961.18957201</v>
      </c>
      <c r="F24" s="159">
        <f t="shared" si="7"/>
        <v>159226082.348726</v>
      </c>
      <c r="G24" s="160">
        <f t="shared" si="4"/>
        <v>31.1</v>
      </c>
      <c r="H24" s="161">
        <f t="shared" si="0"/>
        <v>16.657155804039999</v>
      </c>
      <c r="I24" s="161">
        <f t="shared" si="1"/>
        <v>8.3066950286738432</v>
      </c>
      <c r="J24" s="161">
        <f t="shared" si="2"/>
        <v>6.1736210449085354</v>
      </c>
      <c r="K24" s="48"/>
      <c r="M24" s="316"/>
    </row>
    <row r="25" spans="2:13" ht="15" x14ac:dyDescent="0.2">
      <c r="B25" s="17" t="s">
        <v>434</v>
      </c>
      <c r="C25" s="294">
        <f t="shared" si="3"/>
        <v>238193127.793495</v>
      </c>
      <c r="D25" s="294">
        <v>96312398.696260989</v>
      </c>
      <c r="E25" s="294">
        <v>56461396.798983991</v>
      </c>
      <c r="F25" s="294">
        <v>85419332.29825002</v>
      </c>
      <c r="G25" s="163">
        <f t="shared" si="4"/>
        <v>9.1999999999999993</v>
      </c>
      <c r="H25" s="153">
        <f>+D25/C32*100</f>
        <v>3.7342892741316991</v>
      </c>
      <c r="I25" s="153">
        <f>+E25/C32*100</f>
        <v>2.1891593535519021</v>
      </c>
      <c r="J25" s="153">
        <f>+F25/C32*100</f>
        <v>3.3119359575999208</v>
      </c>
      <c r="K25" s="48"/>
    </row>
    <row r="26" spans="2:13" ht="15" x14ac:dyDescent="0.2">
      <c r="B26" s="2" t="s">
        <v>435</v>
      </c>
      <c r="C26" s="164">
        <f t="shared" si="3"/>
        <v>36002499.320430003</v>
      </c>
      <c r="D26" s="164">
        <v>28275817.650829997</v>
      </c>
      <c r="E26" s="164">
        <v>7333385.2342000008</v>
      </c>
      <c r="F26" s="164">
        <v>393296.43539999996</v>
      </c>
      <c r="G26" s="165">
        <f t="shared" si="4"/>
        <v>1.4</v>
      </c>
      <c r="H26" s="149">
        <f t="shared" ref="H26:J27" si="8">+D26/$C$32*100</f>
        <v>1.0963290708166884</v>
      </c>
      <c r="I26" s="149">
        <f t="shared" si="8"/>
        <v>0.28433495784392682</v>
      </c>
      <c r="J26" s="149">
        <f t="shared" si="8"/>
        <v>1.5249154627538803E-2</v>
      </c>
      <c r="K26" s="48"/>
      <c r="L26" s="109"/>
    </row>
    <row r="27" spans="2:13" ht="15.75" x14ac:dyDescent="0.25">
      <c r="B27" s="292" t="s">
        <v>436</v>
      </c>
      <c r="C27" s="296">
        <f>SUM(D27:F27)</f>
        <v>274195627.11392498</v>
      </c>
      <c r="D27" s="296">
        <f>SUM(D25:D26)</f>
        <v>124588216.34709099</v>
      </c>
      <c r="E27" s="296">
        <f>SUM(E25:E26)</f>
        <v>63794782.033183992</v>
      </c>
      <c r="F27" s="296">
        <f t="shared" ref="F27" si="9">SUM(F25:F26)</f>
        <v>85812628.733650014</v>
      </c>
      <c r="G27" s="442">
        <f t="shared" si="4"/>
        <v>10.6</v>
      </c>
      <c r="H27" s="297">
        <f t="shared" si="8"/>
        <v>4.8306183449483875</v>
      </c>
      <c r="I27" s="297">
        <f t="shared" si="8"/>
        <v>2.4734943113958288</v>
      </c>
      <c r="J27" s="297">
        <f t="shared" si="8"/>
        <v>3.3271851122274589</v>
      </c>
      <c r="K27" s="48"/>
    </row>
    <row r="28" spans="2:13" ht="15" x14ac:dyDescent="0.2">
      <c r="B28" s="2" t="s">
        <v>432</v>
      </c>
      <c r="C28" s="164">
        <f t="shared" si="3"/>
        <v>194083225.613179</v>
      </c>
      <c r="D28" s="164">
        <v>114019933.692532</v>
      </c>
      <c r="E28" s="164">
        <v>42595423.732578993</v>
      </c>
      <c r="F28" s="164">
        <v>37467868.188068002</v>
      </c>
      <c r="G28" s="165">
        <f t="shared" si="4"/>
        <v>7.5</v>
      </c>
      <c r="H28" s="149">
        <f>+D28/C32*100</f>
        <v>4.4208577627478345</v>
      </c>
      <c r="I28" s="149">
        <f>+E28/C32*100</f>
        <v>1.6515384947819776</v>
      </c>
      <c r="J28" s="149">
        <f>+F28/C32*100</f>
        <v>1.4527294532506998</v>
      </c>
      <c r="K28" s="48"/>
    </row>
    <row r="29" spans="2:13" ht="15" x14ac:dyDescent="0.2">
      <c r="B29" s="293" t="s">
        <v>433</v>
      </c>
      <c r="C29" s="294">
        <f t="shared" si="3"/>
        <v>1578048.7169999999</v>
      </c>
      <c r="D29" s="294">
        <v>223174.09650000001</v>
      </c>
      <c r="E29" s="294">
        <v>470614.39650000003</v>
      </c>
      <c r="F29" s="294">
        <v>884260.22399999993</v>
      </c>
      <c r="G29" s="298">
        <f t="shared" si="4"/>
        <v>0.1</v>
      </c>
      <c r="H29" s="295">
        <f>+D29/C32*100</f>
        <v>8.6530565753247784E-3</v>
      </c>
      <c r="I29" s="295">
        <f>+E29/C32*100</f>
        <v>1.8246978757576499E-2</v>
      </c>
      <c r="J29" s="295">
        <f>+F29/C32*100</f>
        <v>3.4285133738992689E-2</v>
      </c>
      <c r="K29" s="48"/>
    </row>
    <row r="30" spans="2:13" ht="15.75" x14ac:dyDescent="0.25">
      <c r="B30" s="3" t="s">
        <v>437</v>
      </c>
      <c r="C30" s="159">
        <f t="shared" si="3"/>
        <v>195661274.33017901</v>
      </c>
      <c r="D30" s="159">
        <f>SUM(D28:D29)</f>
        <v>114243107.789032</v>
      </c>
      <c r="E30" s="159">
        <f>SUM(E28:E29)</f>
        <v>43066038.129078992</v>
      </c>
      <c r="F30" s="159">
        <f t="shared" ref="F30" si="10">SUM(F28:F29)</f>
        <v>38352128.412068002</v>
      </c>
      <c r="G30" s="160">
        <f t="shared" si="4"/>
        <v>7.6</v>
      </c>
      <c r="H30" s="161">
        <f>+D30/C32*100</f>
        <v>4.4295108193231592</v>
      </c>
      <c r="I30" s="161">
        <f>+E30/C32*100</f>
        <v>1.6697854735395539</v>
      </c>
      <c r="J30" s="161">
        <f>+F30/C32*100</f>
        <v>1.4870145869896925</v>
      </c>
      <c r="K30" s="48"/>
    </row>
    <row r="31" spans="2:13" ht="15.75" x14ac:dyDescent="0.25">
      <c r="B31" s="292" t="s">
        <v>488</v>
      </c>
      <c r="C31" s="296">
        <f t="shared" si="3"/>
        <v>70330990.351510972</v>
      </c>
      <c r="D31" s="296">
        <v>51390314.830463961</v>
      </c>
      <c r="E31" s="296">
        <v>18940675.521047015</v>
      </c>
      <c r="F31" s="296">
        <v>0</v>
      </c>
      <c r="G31" s="442">
        <f t="shared" si="4"/>
        <v>2.7</v>
      </c>
      <c r="H31" s="297">
        <f t="shared" ref="H31:J31" si="11">+D31/$C$32*100</f>
        <v>1.9925399435940214</v>
      </c>
      <c r="I31" s="297">
        <f t="shared" si="11"/>
        <v>0.73438064465733799</v>
      </c>
      <c r="J31" s="297">
        <f t="shared" si="11"/>
        <v>0</v>
      </c>
      <c r="K31" s="48"/>
    </row>
    <row r="32" spans="2:13" ht="16.5" thickBot="1" x14ac:dyDescent="0.3">
      <c r="B32" s="166" t="s">
        <v>26</v>
      </c>
      <c r="C32" s="167">
        <f>C10+C14+C18+C24+C27+C30+C31</f>
        <v>2579135991.5108786</v>
      </c>
      <c r="D32" s="167">
        <f t="shared" ref="D32:F32" si="12">D10+D14+D18+D24+D27+D30+D31</f>
        <v>1355696032.2573199</v>
      </c>
      <c r="E32" s="167">
        <f t="shared" si="12"/>
        <v>690385737.78325176</v>
      </c>
      <c r="F32" s="167">
        <f t="shared" si="12"/>
        <v>533054221.47030598</v>
      </c>
      <c r="G32" s="168">
        <f t="shared" si="4"/>
        <v>100</v>
      </c>
      <c r="H32" s="169">
        <f>H10+H14+H18+H24+H27+H30+H31</f>
        <v>52.563960827173858</v>
      </c>
      <c r="I32" s="169">
        <f t="shared" ref="I32:J32" si="13">I10+I14+I18+I24+I27+I30+I31</f>
        <v>26.768101412861853</v>
      </c>
      <c r="J32" s="169">
        <f t="shared" si="13"/>
        <v>20.667937759964278</v>
      </c>
      <c r="K32" s="48"/>
    </row>
    <row r="33" spans="2:20" ht="15" x14ac:dyDescent="0.2">
      <c r="B33" s="84" t="s">
        <v>438</v>
      </c>
      <c r="C33" s="18"/>
      <c r="D33" s="18"/>
      <c r="E33" s="18"/>
      <c r="F33" s="18"/>
      <c r="G33" s="2"/>
      <c r="H33" s="2"/>
      <c r="I33" s="2"/>
      <c r="J33" s="2"/>
    </row>
    <row r="34" spans="2:20" ht="15" x14ac:dyDescent="0.2">
      <c r="B34" s="84" t="s">
        <v>489</v>
      </c>
      <c r="C34" s="18"/>
      <c r="D34" s="18"/>
      <c r="E34" s="18"/>
      <c r="F34" s="18"/>
      <c r="G34" s="2"/>
      <c r="H34" s="2"/>
      <c r="I34" s="2"/>
      <c r="J34" s="2"/>
    </row>
    <row r="35" spans="2:20" ht="15" x14ac:dyDescent="0.2">
      <c r="B35" s="107"/>
      <c r="C35" s="18"/>
      <c r="D35" s="18"/>
      <c r="E35" s="18"/>
      <c r="F35" s="18"/>
      <c r="G35" s="18"/>
      <c r="H35" s="18"/>
      <c r="I35" s="18"/>
      <c r="J35" s="18"/>
    </row>
    <row r="36" spans="2:20" ht="20.25" x14ac:dyDescent="0.3">
      <c r="B36" s="103" t="s">
        <v>442</v>
      </c>
      <c r="C36" s="18"/>
      <c r="D36" s="18"/>
      <c r="E36" s="18"/>
      <c r="F36" s="18"/>
      <c r="G36" s="2"/>
      <c r="H36" s="2"/>
      <c r="J36" s="332"/>
      <c r="L36" s="402" t="s">
        <v>543</v>
      </c>
      <c r="M36" s="336"/>
      <c r="N36" s="336"/>
      <c r="O36" s="336"/>
      <c r="P36" s="336"/>
      <c r="Q36" s="336"/>
      <c r="R36" s="336"/>
      <c r="S36" s="336"/>
      <c r="T36" s="336"/>
    </row>
    <row r="37" spans="2:20" ht="20.25" x14ac:dyDescent="0.3">
      <c r="B37" s="103" t="s">
        <v>487</v>
      </c>
      <c r="C37" s="102" t="str">
        <f>G4</f>
        <v>2022 Tax Year</v>
      </c>
      <c r="D37" s="18"/>
      <c r="E37" s="18"/>
      <c r="G37" s="2"/>
      <c r="H37" s="2"/>
      <c r="I37" s="2"/>
      <c r="J37" s="2"/>
    </row>
    <row r="38" spans="2:20" ht="20.25" x14ac:dyDescent="0.3">
      <c r="B38" s="103"/>
      <c r="C38" s="18"/>
      <c r="D38" s="18"/>
      <c r="E38" s="18"/>
      <c r="F38" s="158" t="s">
        <v>4</v>
      </c>
      <c r="G38" s="2"/>
      <c r="H38" s="2"/>
      <c r="I38" s="2"/>
      <c r="J38" s="2"/>
    </row>
    <row r="39" spans="2:20" ht="15" x14ac:dyDescent="0.2">
      <c r="C39" s="18"/>
      <c r="D39" s="18"/>
      <c r="E39" s="158" t="s">
        <v>379</v>
      </c>
      <c r="F39" s="158" t="s">
        <v>6</v>
      </c>
      <c r="G39" s="2"/>
      <c r="H39" s="2"/>
      <c r="I39" s="2"/>
      <c r="J39" s="2"/>
    </row>
    <row r="40" spans="2:20" ht="15.75" thickBot="1" x14ac:dyDescent="0.25">
      <c r="B40" s="150"/>
      <c r="C40" s="151" t="s">
        <v>8</v>
      </c>
      <c r="D40" s="151" t="s">
        <v>9</v>
      </c>
      <c r="E40" s="115" t="s">
        <v>9</v>
      </c>
      <c r="F40" s="115" t="s">
        <v>10</v>
      </c>
      <c r="G40" s="2"/>
      <c r="H40" s="299"/>
      <c r="I40" s="2"/>
      <c r="J40" s="2"/>
    </row>
    <row r="41" spans="2:20" ht="15.75" x14ac:dyDescent="0.25">
      <c r="B41" s="148" t="s">
        <v>371</v>
      </c>
      <c r="C41" s="18"/>
      <c r="D41" s="18"/>
      <c r="E41" s="18"/>
      <c r="F41" s="18"/>
      <c r="G41" s="2"/>
      <c r="H41" s="2"/>
      <c r="I41" s="2"/>
      <c r="J41" s="2"/>
    </row>
    <row r="42" spans="2:20" ht="15" x14ac:dyDescent="0.2">
      <c r="B42" s="152" t="s">
        <v>376</v>
      </c>
      <c r="C42" s="153">
        <f>ROUND(C10/C10*100,1)</f>
        <v>100</v>
      </c>
      <c r="D42" s="153">
        <f>ROUND(D10/D10*100,1)</f>
        <v>100</v>
      </c>
      <c r="E42" s="153">
        <f>ROUND(E10/E10*100,1)</f>
        <v>100</v>
      </c>
      <c r="F42" s="153">
        <f>ROUND(F10/F10*100,1)</f>
        <v>100</v>
      </c>
      <c r="G42" s="149"/>
      <c r="H42" s="164"/>
      <c r="I42" s="2"/>
      <c r="J42" s="2"/>
    </row>
    <row r="43" spans="2:20" ht="9.9499999999999993" customHeight="1" x14ac:dyDescent="0.2">
      <c r="C43" s="149"/>
      <c r="D43" s="157"/>
      <c r="E43" s="149"/>
      <c r="F43" s="149"/>
      <c r="G43" s="149"/>
      <c r="H43" s="2"/>
      <c r="I43" s="2"/>
      <c r="J43" s="2"/>
    </row>
    <row r="44" spans="2:20" ht="15" customHeight="1" x14ac:dyDescent="0.25">
      <c r="B44" s="148" t="s">
        <v>380</v>
      </c>
      <c r="C44" s="149"/>
      <c r="D44" s="157"/>
      <c r="E44" s="149"/>
      <c r="F44" s="149"/>
      <c r="G44" s="149"/>
      <c r="H44" s="2"/>
      <c r="I44" s="2"/>
      <c r="J44" s="2"/>
    </row>
    <row r="45" spans="2:20" ht="15.75" customHeight="1" x14ac:dyDescent="0.2">
      <c r="B45" s="18" t="s">
        <v>377</v>
      </c>
      <c r="C45" s="149">
        <f>ROUNDUP(C11/$C$14*100,1)</f>
        <v>92.3</v>
      </c>
      <c r="D45" s="157">
        <f>ROUND(D11/$D$14*100,1)</f>
        <v>86.4</v>
      </c>
      <c r="E45" s="149">
        <f>ROUNDDOWN(E11/$E$14*100,1)</f>
        <v>94.1</v>
      </c>
      <c r="F45" s="149">
        <f>ROUND(F11/$F$14*100,1)</f>
        <v>99.2</v>
      </c>
      <c r="G45" s="149"/>
      <c r="H45" s="18"/>
      <c r="I45" s="2"/>
      <c r="J45" s="2"/>
    </row>
    <row r="46" spans="2:20" ht="15" x14ac:dyDescent="0.2">
      <c r="B46" s="152" t="s">
        <v>372</v>
      </c>
      <c r="C46" s="153">
        <f t="shared" ref="C46:C47" si="14">ROUND(C12/$C$14*100,1)</f>
        <v>6.7</v>
      </c>
      <c r="D46" s="155">
        <f t="shared" ref="D46" si="15">ROUND(D12/$D$14*100,1)</f>
        <v>11.9</v>
      </c>
      <c r="E46" s="153">
        <f>ROUND(E12/$E$14*100,1)+0.1</f>
        <v>4.8999999999999995</v>
      </c>
      <c r="F46" s="153">
        <f t="shared" ref="F46:F47" si="16">ROUND(F12/$F$14*100,1)</f>
        <v>0.8</v>
      </c>
      <c r="G46" s="149"/>
      <c r="H46" s="2" t="s">
        <v>378</v>
      </c>
      <c r="I46" s="2"/>
      <c r="J46" s="2"/>
    </row>
    <row r="47" spans="2:20" ht="15" x14ac:dyDescent="0.2">
      <c r="B47" s="18" t="s">
        <v>373</v>
      </c>
      <c r="C47" s="149">
        <f t="shared" si="14"/>
        <v>1</v>
      </c>
      <c r="D47" s="157">
        <f>ROUND(D13/$D$14*100,1)</f>
        <v>1.7</v>
      </c>
      <c r="E47" s="149">
        <f t="shared" ref="E46:E47" si="17">ROUND(E13/$E$14*100,1)</f>
        <v>1</v>
      </c>
      <c r="F47" s="149">
        <f t="shared" si="16"/>
        <v>0</v>
      </c>
      <c r="G47" s="149"/>
      <c r="H47" s="2"/>
      <c r="I47" s="2"/>
      <c r="J47" s="2"/>
    </row>
    <row r="48" spans="2:20" ht="15" x14ac:dyDescent="0.2">
      <c r="B48" s="152" t="s">
        <v>341</v>
      </c>
      <c r="C48" s="153">
        <f>SUM(C45:C47)</f>
        <v>100</v>
      </c>
      <c r="D48" s="155">
        <f>SUM(D45:D47)</f>
        <v>100.00000000000001</v>
      </c>
      <c r="E48" s="153">
        <f>SUM(E45:E47)</f>
        <v>100</v>
      </c>
      <c r="F48" s="153">
        <f>SUM(F45:F47)</f>
        <v>100</v>
      </c>
      <c r="G48" s="149"/>
      <c r="H48" s="2"/>
      <c r="I48" s="2"/>
      <c r="J48" s="2"/>
    </row>
    <row r="49" spans="2:10" ht="9.9499999999999993" customHeight="1" x14ac:dyDescent="0.2">
      <c r="C49" s="149"/>
      <c r="D49" s="157"/>
      <c r="E49" s="149"/>
      <c r="F49" s="149"/>
      <c r="G49" s="149"/>
      <c r="H49" s="2"/>
      <c r="I49" s="2"/>
      <c r="J49" s="2"/>
    </row>
    <row r="50" spans="2:10" ht="15.75" x14ac:dyDescent="0.25">
      <c r="B50" s="148" t="s">
        <v>382</v>
      </c>
      <c r="C50" s="149"/>
      <c r="D50" s="157"/>
      <c r="E50" s="149"/>
      <c r="F50" s="149"/>
      <c r="G50" s="149"/>
      <c r="H50" s="2"/>
      <c r="I50" s="2"/>
      <c r="J50" s="2"/>
    </row>
    <row r="51" spans="2:10" ht="15" x14ac:dyDescent="0.2">
      <c r="B51" s="18" t="s">
        <v>377</v>
      </c>
      <c r="C51" s="149">
        <f>ROUNDDOWN(C15/C$18*100,1)</f>
        <v>65.8</v>
      </c>
      <c r="D51" s="157">
        <f>ROUND(D15/D$18*100,1)</f>
        <v>64.099999999999994</v>
      </c>
      <c r="E51" s="149">
        <f>ROUNDUP(E15/E$18*100,1)</f>
        <v>70.8</v>
      </c>
      <c r="F51" s="149">
        <f>ROUND(F15/F$18*100,1)</f>
        <v>100</v>
      </c>
      <c r="G51" s="149"/>
      <c r="H51" s="2"/>
      <c r="I51" s="2"/>
      <c r="J51" s="2"/>
    </row>
    <row r="52" spans="2:10" ht="15" x14ac:dyDescent="0.2">
      <c r="B52" s="152" t="s">
        <v>372</v>
      </c>
      <c r="C52" s="153">
        <f>ROUND(C16/C$18*100,1)+0.1</f>
        <v>32.4</v>
      </c>
      <c r="D52" s="155">
        <f>ROUND(D16/D$18*100,1)+0.1</f>
        <v>34.200000000000003</v>
      </c>
      <c r="E52" s="153">
        <f t="shared" ref="C52:F53" si="18">ROUND(E16/E$18*100,1)</f>
        <v>27.3</v>
      </c>
      <c r="F52" s="153">
        <f t="shared" si="18"/>
        <v>0</v>
      </c>
      <c r="G52" s="149"/>
      <c r="H52" s="2"/>
      <c r="I52" s="2"/>
      <c r="J52" s="2"/>
    </row>
    <row r="53" spans="2:10" ht="15" x14ac:dyDescent="0.2">
      <c r="B53" s="170" t="s">
        <v>373</v>
      </c>
      <c r="C53" s="154">
        <f t="shared" si="18"/>
        <v>1.8</v>
      </c>
      <c r="D53" s="156">
        <f>ROUND(D17/D$18*100,1)</f>
        <v>1.7</v>
      </c>
      <c r="E53" s="154">
        <f t="shared" ref="E53:F53" si="19">ROUND(E17/E$18*100,1)</f>
        <v>1.9</v>
      </c>
      <c r="F53" s="154">
        <f t="shared" si="19"/>
        <v>0</v>
      </c>
      <c r="G53" s="149"/>
      <c r="H53" s="2"/>
      <c r="I53" s="2"/>
      <c r="J53" s="2"/>
    </row>
    <row r="54" spans="2:10" ht="15" customHeight="1" x14ac:dyDescent="0.2">
      <c r="B54" s="152" t="s">
        <v>341</v>
      </c>
      <c r="C54" s="153">
        <f>SUM(C51:C53)</f>
        <v>99.999999999999986</v>
      </c>
      <c r="D54" s="155">
        <f>SUM(D51:D53)</f>
        <v>100</v>
      </c>
      <c r="E54" s="153">
        <f>SUM(E51:E53)</f>
        <v>100</v>
      </c>
      <c r="F54" s="153">
        <f>SUM(F51:F53)</f>
        <v>100</v>
      </c>
      <c r="G54" s="149"/>
      <c r="H54" s="2"/>
      <c r="I54" s="2"/>
      <c r="J54" s="2"/>
    </row>
    <row r="55" spans="2:10" ht="9.9499999999999993" customHeight="1" x14ac:dyDescent="0.2">
      <c r="C55" s="149"/>
      <c r="D55" s="157"/>
      <c r="E55" s="149"/>
      <c r="F55" s="149"/>
      <c r="G55" s="149"/>
      <c r="H55" s="2"/>
      <c r="I55" s="2"/>
      <c r="J55" s="2"/>
    </row>
    <row r="56" spans="2:10" ht="15.75" x14ac:dyDescent="0.25">
      <c r="B56" s="148" t="s">
        <v>381</v>
      </c>
      <c r="C56" s="149"/>
      <c r="D56" s="157"/>
      <c r="E56" s="149"/>
      <c r="F56" s="149"/>
      <c r="G56" s="149"/>
      <c r="H56" s="2"/>
      <c r="I56" s="2"/>
      <c r="J56" s="2"/>
    </row>
    <row r="57" spans="2:10" ht="15" x14ac:dyDescent="0.2">
      <c r="B57" s="18" t="s">
        <v>377</v>
      </c>
      <c r="C57" s="149">
        <f>ROUND(C19/C$24*100,1)</f>
        <v>6.6</v>
      </c>
      <c r="D57" s="157">
        <f>ROUND(D19/D$24*100,1)</f>
        <v>6.2</v>
      </c>
      <c r="E57" s="149">
        <f>ROUND(E19/E$24*100,1)</f>
        <v>6.9</v>
      </c>
      <c r="F57" s="149">
        <f>ROUND(F19/F$24*100,1)</f>
        <v>7.3</v>
      </c>
      <c r="G57" s="149"/>
      <c r="H57" s="2"/>
      <c r="I57" s="2"/>
      <c r="J57" s="2"/>
    </row>
    <row r="58" spans="2:10" ht="15" x14ac:dyDescent="0.2">
      <c r="B58" s="152" t="s">
        <v>372</v>
      </c>
      <c r="C58" s="153">
        <f>ROUNDDOWN(C20/C$24*100,1)+0.1</f>
        <v>46.2</v>
      </c>
      <c r="D58" s="155">
        <f>ROUNDDOWN(D20/D$24*100,1)</f>
        <v>49.5</v>
      </c>
      <c r="E58" s="153">
        <f t="shared" ref="C58:F61" si="20">ROUND(E20/E$24*100,1)</f>
        <v>49.5</v>
      </c>
      <c r="F58" s="153">
        <f>ROUND(F20/F$24*100,1)+0.1</f>
        <v>32.6</v>
      </c>
      <c r="G58" s="149"/>
      <c r="H58" s="2"/>
      <c r="I58" s="2"/>
      <c r="J58" s="2"/>
    </row>
    <row r="59" spans="2:10" ht="15" x14ac:dyDescent="0.2">
      <c r="B59" s="18" t="s">
        <v>374</v>
      </c>
      <c r="C59" s="149">
        <f>ROUND(C21/C$24*100,1)</f>
        <v>21</v>
      </c>
      <c r="D59" s="157">
        <f t="shared" si="20"/>
        <v>18.8</v>
      </c>
      <c r="E59" s="149">
        <f t="shared" si="20"/>
        <v>19.8</v>
      </c>
      <c r="F59" s="149">
        <f t="shared" si="20"/>
        <v>28.8</v>
      </c>
      <c r="G59" s="149"/>
      <c r="H59" s="2"/>
      <c r="I59" s="2"/>
      <c r="J59" s="2"/>
    </row>
    <row r="60" spans="2:10" ht="15" x14ac:dyDescent="0.2">
      <c r="B60" s="152" t="s">
        <v>375</v>
      </c>
      <c r="C60" s="153">
        <f t="shared" si="20"/>
        <v>19.8</v>
      </c>
      <c r="D60" s="155">
        <f t="shared" si="20"/>
        <v>21.4</v>
      </c>
      <c r="E60" s="153">
        <f t="shared" si="20"/>
        <v>17.600000000000001</v>
      </c>
      <c r="F60" s="153">
        <f>ROUND(F22/F$24*100,1)</f>
        <v>18.3</v>
      </c>
      <c r="G60" s="149"/>
      <c r="H60" s="2"/>
      <c r="I60" s="2"/>
      <c r="J60" s="2"/>
    </row>
    <row r="61" spans="2:10" ht="15" x14ac:dyDescent="0.2">
      <c r="B61" s="18" t="s">
        <v>424</v>
      </c>
      <c r="C61" s="149">
        <f t="shared" si="20"/>
        <v>6.4</v>
      </c>
      <c r="D61" s="157">
        <f t="shared" si="20"/>
        <v>4.0999999999999996</v>
      </c>
      <c r="E61" s="149">
        <f t="shared" si="20"/>
        <v>6.2</v>
      </c>
      <c r="F61" s="149">
        <f t="shared" si="20"/>
        <v>13</v>
      </c>
      <c r="G61" s="149"/>
      <c r="H61" s="6"/>
      <c r="I61" s="6"/>
      <c r="J61" s="6"/>
    </row>
    <row r="62" spans="2:10" ht="15" x14ac:dyDescent="0.2">
      <c r="B62" s="152" t="s">
        <v>341</v>
      </c>
      <c r="C62" s="153">
        <f>SUM(C57:C61)</f>
        <v>100.00000000000001</v>
      </c>
      <c r="D62" s="155">
        <f>SUM(D57:D61)</f>
        <v>100</v>
      </c>
      <c r="E62" s="153">
        <f>SUM(E57:E61)</f>
        <v>100.00000000000001</v>
      </c>
      <c r="F62" s="153">
        <f>SUM(F57:F61)</f>
        <v>100</v>
      </c>
      <c r="G62" s="149"/>
      <c r="H62" s="6"/>
      <c r="I62" s="6"/>
      <c r="J62" s="6"/>
    </row>
    <row r="63" spans="2:10" ht="9.9499999999999993" customHeight="1" x14ac:dyDescent="0.2">
      <c r="C63" s="149"/>
      <c r="D63" s="157"/>
      <c r="E63" s="149"/>
      <c r="F63" s="149"/>
      <c r="G63" s="149"/>
      <c r="H63" s="6"/>
      <c r="I63" s="6"/>
      <c r="J63" s="6"/>
    </row>
    <row r="64" spans="2:10" ht="15.75" x14ac:dyDescent="0.25">
      <c r="B64" s="148" t="s">
        <v>439</v>
      </c>
      <c r="C64" s="149"/>
      <c r="D64" s="157"/>
      <c r="E64" s="149"/>
      <c r="F64" s="149"/>
      <c r="G64" s="149"/>
      <c r="H64" s="6"/>
      <c r="I64" s="6"/>
      <c r="J64" s="6"/>
    </row>
    <row r="65" spans="2:16" ht="15" x14ac:dyDescent="0.2">
      <c r="B65" s="300" t="s">
        <v>440</v>
      </c>
      <c r="C65" s="291">
        <f t="shared" ref="C65:F66" si="21">ROUND(C25/C$27*100,1)</f>
        <v>86.9</v>
      </c>
      <c r="D65" s="291">
        <f t="shared" si="21"/>
        <v>77.3</v>
      </c>
      <c r="E65" s="291">
        <f t="shared" si="21"/>
        <v>88.5</v>
      </c>
      <c r="F65" s="291">
        <f t="shared" si="21"/>
        <v>99.5</v>
      </c>
      <c r="G65" s="149"/>
      <c r="H65" s="6"/>
      <c r="I65" s="6"/>
      <c r="J65" s="6"/>
    </row>
    <row r="66" spans="2:16" ht="15" x14ac:dyDescent="0.2">
      <c r="B66" s="302" t="s">
        <v>372</v>
      </c>
      <c r="C66" s="295">
        <f t="shared" si="21"/>
        <v>13.1</v>
      </c>
      <c r="D66" s="295">
        <f t="shared" si="21"/>
        <v>22.7</v>
      </c>
      <c r="E66" s="295">
        <f t="shared" si="21"/>
        <v>11.5</v>
      </c>
      <c r="F66" s="295">
        <f t="shared" si="21"/>
        <v>0.5</v>
      </c>
      <c r="G66" s="149"/>
      <c r="H66" s="6"/>
      <c r="I66" s="6"/>
      <c r="J66" s="6"/>
    </row>
    <row r="67" spans="2:16" ht="15" x14ac:dyDescent="0.2">
      <c r="B67" s="300" t="s">
        <v>341</v>
      </c>
      <c r="C67" s="291">
        <f>SUM(C65:C66)</f>
        <v>100</v>
      </c>
      <c r="D67" s="291">
        <f>SUM(D65:D66)</f>
        <v>100</v>
      </c>
      <c r="E67" s="291">
        <f>SUM(E65:E66)</f>
        <v>100</v>
      </c>
      <c r="F67" s="291">
        <f>SUM(F65:F66)</f>
        <v>100</v>
      </c>
      <c r="G67" s="149"/>
      <c r="H67" s="6"/>
      <c r="I67" s="6"/>
      <c r="J67" s="6"/>
    </row>
    <row r="68" spans="2:16" ht="9.9499999999999993" customHeight="1" x14ac:dyDescent="0.2">
      <c r="G68" s="149"/>
      <c r="H68" s="6"/>
      <c r="I68" s="6"/>
      <c r="J68" s="6"/>
    </row>
    <row r="69" spans="2:16" ht="15.75" x14ac:dyDescent="0.25">
      <c r="B69" s="148" t="s">
        <v>441</v>
      </c>
      <c r="C69" s="149"/>
      <c r="D69" s="157"/>
      <c r="E69" s="149"/>
      <c r="F69" s="149"/>
      <c r="G69" s="149"/>
      <c r="H69" s="6"/>
      <c r="I69" s="6"/>
      <c r="J69" s="6"/>
    </row>
    <row r="70" spans="2:16" ht="15" x14ac:dyDescent="0.2">
      <c r="B70" s="300" t="s">
        <v>440</v>
      </c>
      <c r="C70" s="291">
        <f>ROUND(C28/C$30*100,1)</f>
        <v>99.2</v>
      </c>
      <c r="D70" s="291">
        <f t="shared" ref="D70:F70" si="22">ROUND(D28/D$30*100,1)</f>
        <v>99.8</v>
      </c>
      <c r="E70" s="291">
        <f t="shared" si="22"/>
        <v>98.9</v>
      </c>
      <c r="F70" s="291">
        <f t="shared" si="22"/>
        <v>97.7</v>
      </c>
      <c r="G70" s="149"/>
      <c r="H70" s="6"/>
      <c r="I70" s="6"/>
      <c r="J70" s="6"/>
    </row>
    <row r="71" spans="2:16" ht="15" x14ac:dyDescent="0.2">
      <c r="B71" s="302" t="s">
        <v>372</v>
      </c>
      <c r="C71" s="295">
        <f>ROUND(C29/C$30*100,1)</f>
        <v>0.8</v>
      </c>
      <c r="D71" s="295">
        <f t="shared" ref="D71:F71" si="23">ROUND(D29/D$30*100,1)</f>
        <v>0.2</v>
      </c>
      <c r="E71" s="295">
        <f t="shared" si="23"/>
        <v>1.1000000000000001</v>
      </c>
      <c r="F71" s="295">
        <f t="shared" si="23"/>
        <v>2.2999999999999998</v>
      </c>
      <c r="G71" s="149"/>
      <c r="H71" s="6"/>
      <c r="I71" s="6"/>
      <c r="J71" s="6"/>
    </row>
    <row r="72" spans="2:16" ht="15.75" thickBot="1" x14ac:dyDescent="0.25">
      <c r="B72" s="303" t="s">
        <v>341</v>
      </c>
      <c r="C72" s="304">
        <f>SUM(C70:C71)</f>
        <v>100</v>
      </c>
      <c r="D72" s="304">
        <f>SUM(D70:D71)</f>
        <v>100</v>
      </c>
      <c r="E72" s="304">
        <f>SUM(E70:E71)</f>
        <v>100</v>
      </c>
      <c r="F72" s="304">
        <f>SUM(F70:F71)</f>
        <v>100</v>
      </c>
      <c r="G72" s="149"/>
      <c r="H72" s="6"/>
      <c r="I72" s="6"/>
      <c r="J72" s="6"/>
    </row>
    <row r="73" spans="2:16" ht="15" x14ac:dyDescent="0.2">
      <c r="B73" s="107" t="s">
        <v>349</v>
      </c>
      <c r="C73" s="291"/>
      <c r="D73" s="301"/>
      <c r="E73" s="291"/>
      <c r="F73" s="291"/>
      <c r="G73" s="149"/>
      <c r="H73" s="6"/>
      <c r="I73" s="6"/>
      <c r="J73" s="6"/>
    </row>
    <row r="74" spans="2:16" ht="15" x14ac:dyDescent="0.2">
      <c r="B74" s="84" t="s">
        <v>477</v>
      </c>
      <c r="C74" s="291"/>
      <c r="D74" s="301"/>
      <c r="E74" s="291"/>
      <c r="F74" s="291"/>
      <c r="G74" s="149"/>
      <c r="H74" s="6"/>
      <c r="I74" s="6"/>
      <c r="J74" s="6"/>
    </row>
    <row r="75" spans="2:16" x14ac:dyDescent="0.2">
      <c r="C75" s="9"/>
      <c r="D75" s="9"/>
      <c r="E75" s="9"/>
      <c r="F75" s="9"/>
      <c r="G75" s="6"/>
      <c r="H75" s="6"/>
      <c r="I75" s="6"/>
      <c r="J75" s="6"/>
    </row>
    <row r="76" spans="2:16" ht="20.25" customHeight="1" x14ac:dyDescent="0.35">
      <c r="B76" s="612" t="s">
        <v>392</v>
      </c>
      <c r="C76" s="104"/>
      <c r="D76" s="104"/>
      <c r="E76" s="104"/>
      <c r="F76" s="10"/>
      <c r="G76" s="6"/>
      <c r="H76" s="6"/>
      <c r="I76" s="6"/>
      <c r="J76" s="6"/>
    </row>
    <row r="77" spans="2:16" ht="20.25" customHeight="1" x14ac:dyDescent="0.35">
      <c r="B77" s="103" t="str">
        <f>C37</f>
        <v>2022 Tax Year</v>
      </c>
      <c r="C77" s="104"/>
      <c r="D77" s="104"/>
      <c r="E77" s="104"/>
      <c r="F77" s="10"/>
      <c r="G77" s="6"/>
      <c r="H77" s="6"/>
      <c r="I77" s="6"/>
      <c r="J77" s="6"/>
    </row>
    <row r="78" spans="2:16" ht="15" x14ac:dyDescent="0.2">
      <c r="B78" s="105"/>
      <c r="C78" s="106" t="s">
        <v>343</v>
      </c>
      <c r="D78" s="106" t="s">
        <v>344</v>
      </c>
      <c r="E78" s="105"/>
      <c r="F78" s="9"/>
      <c r="G78" s="6"/>
      <c r="H78" s="6"/>
      <c r="I78" s="6"/>
      <c r="J78" s="6"/>
    </row>
    <row r="79" spans="2:16" ht="15.75" thickBot="1" x14ac:dyDescent="0.25">
      <c r="B79" s="110" t="s">
        <v>357</v>
      </c>
      <c r="C79" s="111" t="s">
        <v>345</v>
      </c>
      <c r="D79" s="111" t="s">
        <v>345</v>
      </c>
      <c r="E79" s="111" t="s">
        <v>8</v>
      </c>
      <c r="F79" s="10"/>
      <c r="G79" s="6"/>
      <c r="H79" s="6"/>
      <c r="I79" s="6"/>
      <c r="J79" s="6"/>
      <c r="N79" s="263"/>
      <c r="O79" s="263"/>
      <c r="P79" s="263"/>
    </row>
    <row r="80" spans="2:16" ht="14.25" x14ac:dyDescent="0.2">
      <c r="B80" s="84" t="s">
        <v>9</v>
      </c>
      <c r="C80" s="116">
        <v>29276409949</v>
      </c>
      <c r="D80" s="116">
        <v>13938576066</v>
      </c>
      <c r="E80" s="116">
        <f>SUM(C80:D80)</f>
        <v>43214986015</v>
      </c>
      <c r="F80" s="10"/>
      <c r="G80" s="6"/>
      <c r="H80" s="9"/>
      <c r="I80" s="6"/>
      <c r="J80" s="6"/>
      <c r="N80" s="263"/>
      <c r="O80" s="263"/>
      <c r="P80" s="263"/>
    </row>
    <row r="81" spans="2:16" ht="14.25" x14ac:dyDescent="0.2">
      <c r="B81" s="85" t="s">
        <v>346</v>
      </c>
      <c r="C81" s="549">
        <f>C80/E80</f>
        <v>0.67745966500690535</v>
      </c>
      <c r="D81" s="549">
        <f>D80/E80</f>
        <v>0.32254033499309465</v>
      </c>
      <c r="E81" s="549">
        <f>SUM(C81:D81)</f>
        <v>1</v>
      </c>
      <c r="G81" s="6"/>
      <c r="H81" s="10"/>
      <c r="I81" s="6"/>
      <c r="J81" s="6"/>
      <c r="N81" s="263"/>
      <c r="O81" s="263"/>
      <c r="P81" s="263"/>
    </row>
    <row r="82" spans="2:16" ht="14.25" x14ac:dyDescent="0.2">
      <c r="B82" s="84" t="s">
        <v>72</v>
      </c>
      <c r="C82" s="116">
        <v>9955163333</v>
      </c>
      <c r="D82" s="116">
        <v>35347413278</v>
      </c>
      <c r="E82" s="116">
        <f>SUM(C82:D82)</f>
        <v>45302576611</v>
      </c>
      <c r="G82" s="6"/>
      <c r="H82" s="10"/>
      <c r="I82" s="6"/>
      <c r="J82" s="6"/>
      <c r="N82" s="263"/>
      <c r="O82" s="263"/>
      <c r="P82" s="263"/>
    </row>
    <row r="83" spans="2:16" ht="14.25" x14ac:dyDescent="0.2">
      <c r="B83" s="85" t="s">
        <v>347</v>
      </c>
      <c r="C83" s="549">
        <f>C82/E82</f>
        <v>0.21974828095280499</v>
      </c>
      <c r="D83" s="549">
        <f>D82/E82</f>
        <v>0.78025171904719504</v>
      </c>
      <c r="E83" s="549">
        <f>SUM(C83:D83)</f>
        <v>1</v>
      </c>
      <c r="F83" s="118"/>
      <c r="G83" s="6"/>
      <c r="H83" s="10"/>
      <c r="I83" s="6"/>
      <c r="J83" s="6"/>
      <c r="N83" s="263"/>
      <c r="O83" s="263"/>
      <c r="P83" s="263"/>
    </row>
    <row r="84" spans="2:16" ht="15" x14ac:dyDescent="0.25">
      <c r="B84" s="83" t="s">
        <v>490</v>
      </c>
      <c r="C84" s="380">
        <f>C80+C82</f>
        <v>39231573282</v>
      </c>
      <c r="D84" s="380">
        <f t="shared" ref="D84:E84" si="24">D80+D82</f>
        <v>49285989344</v>
      </c>
      <c r="E84" s="380">
        <f t="shared" si="24"/>
        <v>88517562626</v>
      </c>
      <c r="F84" s="118"/>
      <c r="G84" s="6"/>
      <c r="H84" s="10"/>
      <c r="I84" s="6"/>
      <c r="J84" s="6"/>
      <c r="N84" s="263"/>
      <c r="O84" s="263"/>
      <c r="P84" s="263"/>
    </row>
    <row r="85" spans="2:16" ht="14.25" x14ac:dyDescent="0.2">
      <c r="B85" s="85" t="s">
        <v>529</v>
      </c>
      <c r="C85" s="549">
        <f>C84/$E$84</f>
        <v>0.44320665999084602</v>
      </c>
      <c r="D85" s="549">
        <f t="shared" ref="D85:E85" si="25">D84/$E$84</f>
        <v>0.55679334000915404</v>
      </c>
      <c r="E85" s="550">
        <f t="shared" si="25"/>
        <v>1</v>
      </c>
      <c r="F85" s="118"/>
      <c r="G85" s="6"/>
      <c r="H85" s="10"/>
      <c r="I85" s="6"/>
      <c r="J85" s="6"/>
      <c r="N85" s="263"/>
      <c r="O85" s="263"/>
      <c r="P85" s="263"/>
    </row>
    <row r="86" spans="2:16" ht="14.25" x14ac:dyDescent="0.2">
      <c r="B86" s="84"/>
      <c r="C86" s="84"/>
      <c r="D86" s="84"/>
      <c r="E86" s="84"/>
      <c r="F86" s="118"/>
      <c r="G86" s="6"/>
      <c r="H86" s="10"/>
      <c r="I86" s="6"/>
      <c r="J86" s="6"/>
      <c r="N86" s="263"/>
      <c r="O86" s="263"/>
      <c r="P86" s="263"/>
    </row>
    <row r="87" spans="2:16" ht="14.25" x14ac:dyDescent="0.2">
      <c r="B87" s="85" t="s">
        <v>350</v>
      </c>
      <c r="C87" s="551">
        <f>C80/C84</f>
        <v>0.74624613544194596</v>
      </c>
      <c r="D87" s="551">
        <f>D80/D84</f>
        <v>0.28281010996275885</v>
      </c>
      <c r="E87" s="551">
        <f>E80/E84</f>
        <v>0.48820804293482195</v>
      </c>
      <c r="G87" s="6"/>
      <c r="H87" s="6"/>
      <c r="I87" s="6"/>
      <c r="J87" s="6"/>
      <c r="N87" s="263"/>
      <c r="O87" s="263"/>
      <c r="P87" s="263"/>
    </row>
    <row r="88" spans="2:16" ht="14.25" x14ac:dyDescent="0.2">
      <c r="B88" s="84" t="s">
        <v>351</v>
      </c>
      <c r="C88" s="552">
        <f>C82/C84</f>
        <v>0.25375386455805404</v>
      </c>
      <c r="D88" s="552">
        <f>D82/D84</f>
        <v>0.71718989003724121</v>
      </c>
      <c r="E88" s="552">
        <f>E82/E84</f>
        <v>0.51179195706517799</v>
      </c>
      <c r="F88" s="9"/>
      <c r="G88" s="6"/>
      <c r="H88" s="6"/>
      <c r="I88" s="6"/>
      <c r="J88" s="6"/>
      <c r="N88" s="263"/>
      <c r="O88" s="263"/>
      <c r="P88" s="263"/>
    </row>
    <row r="89" spans="2:16" ht="15.75" thickBot="1" x14ac:dyDescent="0.3">
      <c r="B89" s="401" t="s">
        <v>341</v>
      </c>
      <c r="C89" s="553">
        <f>SUM(C87:C88)</f>
        <v>1</v>
      </c>
      <c r="D89" s="553">
        <f>SUM(D87:D88)</f>
        <v>1</v>
      </c>
      <c r="E89" s="553">
        <f>SUM(E87:E88)</f>
        <v>1</v>
      </c>
      <c r="F89" s="10"/>
      <c r="G89" s="6"/>
      <c r="H89" s="6"/>
      <c r="I89" s="6"/>
      <c r="J89" s="6"/>
      <c r="N89" s="263"/>
      <c r="O89" s="263"/>
      <c r="P89" s="263"/>
    </row>
    <row r="90" spans="2:16" ht="14.25" x14ac:dyDescent="0.2">
      <c r="B90" s="335" t="s">
        <v>348</v>
      </c>
      <c r="C90" s="377"/>
      <c r="D90" s="377"/>
      <c r="E90" s="377"/>
      <c r="F90" s="10"/>
      <c r="G90" s="6"/>
      <c r="H90" s="6"/>
      <c r="I90" s="6"/>
      <c r="J90" s="6"/>
    </row>
    <row r="91" spans="2:16" ht="14.25" x14ac:dyDescent="0.2">
      <c r="B91" s="335"/>
      <c r="C91" s="377"/>
      <c r="D91" s="377"/>
      <c r="E91" s="377"/>
      <c r="F91" s="377"/>
      <c r="G91" s="6"/>
      <c r="H91" s="6"/>
      <c r="I91" s="6"/>
      <c r="J91" s="6"/>
    </row>
    <row r="92" spans="2:16" ht="14.25" x14ac:dyDescent="0.2">
      <c r="B92" s="277"/>
      <c r="C92" s="146"/>
      <c r="D92" s="10"/>
      <c r="E92" s="10"/>
      <c r="F92" s="10"/>
      <c r="G92" s="6"/>
      <c r="H92" s="6"/>
      <c r="I92" s="6"/>
      <c r="J92" s="6"/>
    </row>
    <row r="93" spans="2:16" ht="14.25" customHeight="1" x14ac:dyDescent="0.2">
      <c r="C93" s="147"/>
      <c r="H93" s="6"/>
      <c r="I93" s="6"/>
      <c r="J93" s="6"/>
    </row>
    <row r="94" spans="2:16" ht="15" customHeight="1" x14ac:dyDescent="0.25">
      <c r="B94" s="598">
        <f>'table 1 &amp; 2'!A90+1</f>
        <v>10</v>
      </c>
      <c r="C94" s="598"/>
      <c r="D94" s="598"/>
      <c r="E94" s="598"/>
      <c r="F94" s="598"/>
      <c r="G94" s="598"/>
      <c r="H94" s="598"/>
      <c r="I94" s="598"/>
      <c r="J94" s="598"/>
    </row>
    <row r="95" spans="2:16" hidden="1" x14ac:dyDescent="0.2"/>
    <row r="96" spans="2:16" ht="14.25" hidden="1" x14ac:dyDescent="0.2">
      <c r="C96" s="116">
        <v>29026829932</v>
      </c>
      <c r="E96" s="6"/>
      <c r="H96" s="6"/>
      <c r="I96" s="6"/>
      <c r="J96" s="6"/>
    </row>
    <row r="97" spans="2:10" ht="14.25" hidden="1" x14ac:dyDescent="0.2">
      <c r="B97" s="6"/>
      <c r="C97" s="116">
        <v>28317018071</v>
      </c>
      <c r="D97" s="6"/>
      <c r="E97" s="6"/>
      <c r="F97" s="6"/>
      <c r="G97" s="6"/>
      <c r="H97" s="6"/>
      <c r="I97" s="6"/>
      <c r="J97" s="6"/>
    </row>
    <row r="98" spans="2:10" hidden="1" x14ac:dyDescent="0.2">
      <c r="B98" s="6"/>
      <c r="C98" s="279">
        <f>+C96-C97</f>
        <v>709811861</v>
      </c>
      <c r="D98" s="6"/>
      <c r="E98" s="6"/>
      <c r="F98" s="6"/>
      <c r="G98" s="6"/>
      <c r="H98" s="6"/>
      <c r="I98" s="6"/>
      <c r="J98" s="6"/>
    </row>
    <row r="99" spans="2:10" hidden="1" x14ac:dyDescent="0.2">
      <c r="B99" s="6"/>
      <c r="C99" s="278">
        <v>2984971</v>
      </c>
      <c r="D99" s="6" t="s">
        <v>425</v>
      </c>
      <c r="E99" s="6"/>
      <c r="F99" s="6"/>
      <c r="G99" s="6"/>
      <c r="H99" s="6"/>
      <c r="I99" s="6"/>
      <c r="J99" s="6"/>
    </row>
    <row r="100" spans="2:10" hidden="1" x14ac:dyDescent="0.2">
      <c r="C100" s="176">
        <v>706826890</v>
      </c>
      <c r="D100" t="s">
        <v>421</v>
      </c>
    </row>
    <row r="101" spans="2:10" hidden="1" x14ac:dyDescent="0.2">
      <c r="C101" s="118">
        <f>+C98-C100</f>
        <v>2984971</v>
      </c>
    </row>
    <row r="102" spans="2:10" hidden="1" x14ac:dyDescent="0.2"/>
    <row r="103" spans="2:10" ht="9.75" customHeight="1" x14ac:dyDescent="0.2"/>
    <row r="104" spans="2:10" ht="11.25" customHeight="1" x14ac:dyDescent="0.2"/>
    <row r="125" spans="2:10" x14ac:dyDescent="0.2">
      <c r="B125" s="597"/>
      <c r="C125" s="597"/>
      <c r="D125" s="597"/>
      <c r="E125" s="597"/>
      <c r="F125" s="597"/>
      <c r="G125" s="597"/>
      <c r="H125" s="597"/>
      <c r="I125" s="597"/>
      <c r="J125" s="597"/>
    </row>
  </sheetData>
  <mergeCells count="2">
    <mergeCell ref="B125:J125"/>
    <mergeCell ref="B94:J94"/>
  </mergeCells>
  <phoneticPr fontId="0" type="noConversion"/>
  <printOptions horizontalCentered="1"/>
  <pageMargins left="0.5" right="0.5" top="0.42" bottom="0.5" header="0" footer="0"/>
  <pageSetup scale="52" orientation="portrait" r:id="rId1"/>
  <headerFooter alignWithMargins="0">
    <oddFooter xml:space="preserve">&amp;C
</oddFooter>
  </headerFooter>
  <ignoredErrors>
    <ignoredError sqref="E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  <pageSetUpPr fitToPage="1"/>
  </sheetPr>
  <dimension ref="B2:O93"/>
  <sheetViews>
    <sheetView showGridLines="0" showZeros="0" topLeftCell="A67" zoomScaleNormal="100" workbookViewId="0">
      <selection activeCell="B50" sqref="B50"/>
    </sheetView>
  </sheetViews>
  <sheetFormatPr defaultRowHeight="12.75" x14ac:dyDescent="0.2"/>
  <cols>
    <col min="1" max="1" width="17.42578125" customWidth="1"/>
    <col min="2" max="2" width="10.85546875" bestFit="1" customWidth="1"/>
    <col min="3" max="3" width="10.140625" customWidth="1"/>
    <col min="4" max="4" width="13.140625" customWidth="1"/>
    <col min="5" max="5" width="14.42578125" customWidth="1"/>
    <col min="6" max="6" width="11.5703125" customWidth="1"/>
    <col min="7" max="7" width="17.140625" customWidth="1"/>
    <col min="8" max="8" width="2" customWidth="1"/>
    <col min="9" max="9" width="12.140625" bestFit="1" customWidth="1"/>
    <col min="10" max="10" width="11.85546875" bestFit="1" customWidth="1"/>
    <col min="11" max="11" width="10" bestFit="1" customWidth="1"/>
    <col min="12" max="12" width="14.42578125" bestFit="1" customWidth="1"/>
    <col min="13" max="13" width="12.140625" bestFit="1" customWidth="1"/>
    <col min="14" max="14" width="12.5703125" bestFit="1" customWidth="1"/>
    <col min="15" max="15" width="13.85546875" bestFit="1" customWidth="1"/>
    <col min="16" max="16" width="12.140625" bestFit="1" customWidth="1"/>
    <col min="17" max="17" width="11.140625" bestFit="1" customWidth="1"/>
    <col min="18" max="18" width="12.140625" bestFit="1" customWidth="1"/>
  </cols>
  <sheetData>
    <row r="2" spans="2:15" x14ac:dyDescent="0.2">
      <c r="C2" s="6"/>
      <c r="D2" s="6"/>
      <c r="E2" s="6"/>
      <c r="F2" s="6"/>
      <c r="G2" s="6"/>
      <c r="H2" s="6"/>
    </row>
    <row r="3" spans="2:15" ht="15" x14ac:dyDescent="0.25">
      <c r="B3" s="83" t="s">
        <v>444</v>
      </c>
      <c r="C3" s="6"/>
      <c r="D3" s="6"/>
      <c r="E3" s="6"/>
      <c r="F3" s="6"/>
      <c r="G3" s="6"/>
      <c r="H3" s="6"/>
    </row>
    <row r="4" spans="2:15" ht="15" x14ac:dyDescent="0.25">
      <c r="B4" s="83" t="s">
        <v>497</v>
      </c>
      <c r="C4" s="83"/>
      <c r="D4" s="83" t="str">
        <f>'table 1 &amp; 2'!C2</f>
        <v>2022 Tax Year</v>
      </c>
      <c r="E4" s="84"/>
      <c r="F4" s="6"/>
      <c r="G4" s="6"/>
      <c r="H4" s="6"/>
    </row>
    <row r="5" spans="2:15" x14ac:dyDescent="0.2">
      <c r="C5" s="6"/>
      <c r="D5" s="6"/>
      <c r="E5" s="6"/>
      <c r="F5" s="6"/>
      <c r="G5" s="6"/>
    </row>
    <row r="6" spans="2:15" ht="21" customHeight="1" x14ac:dyDescent="0.25">
      <c r="B6" s="3" t="s">
        <v>492</v>
      </c>
      <c r="C6" s="6"/>
      <c r="D6" s="6"/>
      <c r="E6" s="6"/>
      <c r="F6" s="6"/>
      <c r="G6" s="6"/>
      <c r="I6" s="583" t="s">
        <v>562</v>
      </c>
      <c r="J6" s="438"/>
      <c r="K6" s="438"/>
      <c r="L6" s="438"/>
      <c r="M6" s="438"/>
      <c r="N6" s="438"/>
      <c r="O6" s="438"/>
    </row>
    <row r="7" spans="2:15" ht="15.75" customHeight="1" x14ac:dyDescent="0.25">
      <c r="B7" s="3" t="str">
        <f>D4</f>
        <v>2022 Tax Year</v>
      </c>
      <c r="C7" s="6"/>
      <c r="D7" s="6"/>
      <c r="E7" s="6"/>
      <c r="F7" s="6"/>
      <c r="G7" s="6"/>
    </row>
    <row r="8" spans="2:15" x14ac:dyDescent="0.2">
      <c r="B8" s="6"/>
      <c r="C8" s="6"/>
      <c r="D8" s="6"/>
      <c r="E8" s="82" t="s">
        <v>321</v>
      </c>
      <c r="F8" s="6"/>
      <c r="G8" s="6"/>
    </row>
    <row r="9" spans="2:15" ht="13.5" thickBot="1" x14ac:dyDescent="0.25">
      <c r="B9" s="23" t="s">
        <v>27</v>
      </c>
      <c r="C9" s="24" t="s">
        <v>9</v>
      </c>
      <c r="D9" s="24" t="s">
        <v>28</v>
      </c>
      <c r="E9" s="25" t="s">
        <v>30</v>
      </c>
      <c r="F9" s="24" t="s">
        <v>10</v>
      </c>
      <c r="G9" s="21"/>
    </row>
    <row r="10" spans="2:15" x14ac:dyDescent="0.2">
      <c r="B10" s="8" t="s">
        <v>31</v>
      </c>
      <c r="C10" s="66">
        <f>'table 1 &amp; 2'!C51/'table 1 &amp; 2'!C9*1000</f>
        <v>41.120385601475775</v>
      </c>
      <c r="D10" s="66">
        <f>'table 1 &amp; 2'!D51/'table 1 &amp; 2'!D9*1000</f>
        <v>46.673166784380811</v>
      </c>
      <c r="E10" s="65" t="str">
        <f>IF('table 1 &amp; 2'!F9="","N/A",'table 1 &amp; 2'!F51/'table 1 &amp; 2'!F9*1000)</f>
        <v>N/A</v>
      </c>
      <c r="F10" s="66" t="str">
        <f>IF('table 1 &amp; 2'!G9="","N/A",'table 1 &amp; 2'!G51/'table 1 &amp; 2'!G9*1000)</f>
        <v>N/A</v>
      </c>
      <c r="G10" s="130"/>
    </row>
    <row r="11" spans="2:15" x14ac:dyDescent="0.2">
      <c r="B11" s="6" t="s">
        <v>32</v>
      </c>
      <c r="C11" s="186">
        <f>'table 1 &amp; 2'!C52/'table 1 &amp; 2'!C10*1000</f>
        <v>17.642693890289848</v>
      </c>
      <c r="D11" s="186">
        <f>'table 1 &amp; 2'!D52/'table 1 &amp; 2'!D10*1000</f>
        <v>18.340433985685483</v>
      </c>
      <c r="E11" s="187" t="str">
        <f>IF('table 1 &amp; 2'!F10="","N/A",'table 1 &amp; 2'!F52/'table 1 &amp; 2'!F10*1000)</f>
        <v>N/A</v>
      </c>
      <c r="F11" s="186" t="str">
        <f>IF('table 1 &amp; 2'!G10="","N/A",'table 1 &amp; 2'!G52/'table 1 &amp; 2'!G10*1000)</f>
        <v>N/A</v>
      </c>
      <c r="G11" s="130"/>
    </row>
    <row r="12" spans="2:15" x14ac:dyDescent="0.2">
      <c r="B12" s="8" t="s">
        <v>33</v>
      </c>
      <c r="C12" s="66">
        <f>'table 1 &amp; 2'!C53/'table 1 &amp; 2'!C11*1000</f>
        <v>25.897888726823933</v>
      </c>
      <c r="D12" s="66">
        <f>'table 1 &amp; 2'!D53/'table 1 &amp; 2'!D11*1000</f>
        <v>26.849808936780555</v>
      </c>
      <c r="E12" s="65">
        <f>IF('table 1 &amp; 2'!F11="","N/A",'table 1 &amp; 2'!F53/'table 1 &amp; 2'!F11*1000)</f>
        <v>20.636041618577735</v>
      </c>
      <c r="F12" s="66">
        <f>IF('table 1 &amp; 2'!G11="","N/A",'table 1 &amp; 2'!G53/'table 1 &amp; 2'!G11*1000)</f>
        <v>20.639568747722464</v>
      </c>
      <c r="G12" s="130"/>
    </row>
    <row r="13" spans="2:15" x14ac:dyDescent="0.2">
      <c r="B13" s="6" t="s">
        <v>34</v>
      </c>
      <c r="C13" s="186">
        <f>'table 1 &amp; 2'!C54/'table 1 &amp; 2'!C12*1000</f>
        <v>32.016950471564876</v>
      </c>
      <c r="D13" s="186">
        <f>'table 1 &amp; 2'!D54/'table 1 &amp; 2'!D12*1000</f>
        <v>34.689317682835927</v>
      </c>
      <c r="E13" s="187" t="str">
        <f>IF('table 1 &amp; 2'!F12="","N/A",'table 1 &amp; 2'!F54/'table 1 &amp; 2'!F12*1000)</f>
        <v>N/A</v>
      </c>
      <c r="F13" s="186" t="str">
        <f>IF('table 1 &amp; 2'!G12="","N/A",'table 1 &amp; 2'!G54/'table 1 &amp; 2'!G12*1000)</f>
        <v>N/A</v>
      </c>
      <c r="G13" s="130"/>
    </row>
    <row r="14" spans="2:15" x14ac:dyDescent="0.2">
      <c r="B14" s="8" t="s">
        <v>35</v>
      </c>
      <c r="C14" s="66">
        <f>'table 1 &amp; 2'!C55/'table 1 &amp; 2'!C13*1000</f>
        <v>26.019850402243637</v>
      </c>
      <c r="D14" s="66">
        <f>'table 1 &amp; 2'!D55/'table 1 &amp; 2'!D13*1000</f>
        <v>26.526580700240984</v>
      </c>
      <c r="E14" s="65">
        <f>IF('table 1 &amp; 2'!F13="","N/A",'table 1 &amp; 2'!F55/'table 1 &amp; 2'!F13*1000)</f>
        <v>22.114474524691552</v>
      </c>
      <c r="F14" s="66">
        <f>IF('table 1 &amp; 2'!G13="","N/A",'table 1 &amp; 2'!G55/'table 1 &amp; 2'!G13*1000)</f>
        <v>22.11255256610438</v>
      </c>
      <c r="G14" s="130"/>
    </row>
    <row r="15" spans="2:15" x14ac:dyDescent="0.2">
      <c r="B15" s="6" t="s">
        <v>36</v>
      </c>
      <c r="C15" s="186">
        <f>'table 1 &amp; 2'!C56/'table 1 &amp; 2'!C14*1000</f>
        <v>24.313199829967715</v>
      </c>
      <c r="D15" s="186">
        <f>'table 1 &amp; 2'!D56/'table 1 &amp; 2'!D14*1000</f>
        <v>22.788059291266507</v>
      </c>
      <c r="E15" s="187" t="str">
        <f>IF('table 1 &amp; 2'!F14="","N/A",'table 1 &amp; 2'!F56/'table 1 &amp; 2'!F14*1000)</f>
        <v>N/A</v>
      </c>
      <c r="F15" s="186" t="str">
        <f>IF('table 1 &amp; 2'!G14="","N/A",'table 1 &amp; 2'!G56/'table 1 &amp; 2'!G14*1000)</f>
        <v>N/A</v>
      </c>
      <c r="G15" s="130"/>
    </row>
    <row r="16" spans="2:15" x14ac:dyDescent="0.2">
      <c r="B16" s="8" t="s">
        <v>67</v>
      </c>
      <c r="C16" s="66">
        <f>'table 1 &amp; 2'!C57/'table 1 &amp; 2'!C15*1000</f>
        <v>23.868461414402088</v>
      </c>
      <c r="D16" s="66">
        <f>'table 1 &amp; 2'!D57/'table 1 &amp; 2'!D15*1000</f>
        <v>22.690195078049307</v>
      </c>
      <c r="E16" s="65" t="str">
        <f>IF('table 1 &amp; 2'!F15="","N/A",'table 1 &amp; 2'!F57/'table 1 &amp; 2'!F15*1000)</f>
        <v>N/A</v>
      </c>
      <c r="F16" s="66" t="str">
        <f>IF('table 1 &amp; 2'!G15="","N/A",'table 1 &amp; 2'!G57/'table 1 &amp; 2'!G15*1000)</f>
        <v>N/A</v>
      </c>
      <c r="G16" s="130"/>
    </row>
    <row r="17" spans="2:7" x14ac:dyDescent="0.2">
      <c r="B17" s="6" t="s">
        <v>37</v>
      </c>
      <c r="C17" s="186">
        <f>'table 1 &amp; 2'!C58/'table 1 &amp; 2'!C16*1000</f>
        <v>29.675807533265001</v>
      </c>
      <c r="D17" s="186">
        <f>'table 1 &amp; 2'!D58/'table 1 &amp; 2'!D16*1000</f>
        <v>33.474831505356747</v>
      </c>
      <c r="E17" s="187" t="str">
        <f>IF('table 1 &amp; 2'!F16="","N/A",'table 1 &amp; 2'!F58/'table 1 &amp; 2'!F16*1000)</f>
        <v>N/A</v>
      </c>
      <c r="F17" s="186" t="str">
        <f>IF('table 1 &amp; 2'!G16="","N/A",'table 1 &amp; 2'!G58/'table 1 &amp; 2'!G16*1000)</f>
        <v>N/A</v>
      </c>
      <c r="G17" s="130"/>
    </row>
    <row r="18" spans="2:7" x14ac:dyDescent="0.2">
      <c r="B18" s="8" t="s">
        <v>38</v>
      </c>
      <c r="C18" s="66">
        <f>'table 1 &amp; 2'!C59/'table 1 &amp; 2'!C17*1000</f>
        <v>23.609670000680993</v>
      </c>
      <c r="D18" s="66">
        <f>'table 1 &amp; 2'!D59/'table 1 &amp; 2'!D17*1000</f>
        <v>22.867772450406747</v>
      </c>
      <c r="E18" s="65">
        <f>IF('table 1 &amp; 2'!F17="","N/A",'table 1 &amp; 2'!F59/'table 1 &amp; 2'!F17*1000)</f>
        <v>21.179725592438285</v>
      </c>
      <c r="F18" s="66">
        <f>IF('table 1 &amp; 2'!G17="","N/A",'table 1 &amp; 2'!G59/'table 1 &amp; 2'!G17*1000)</f>
        <v>21.158722672209471</v>
      </c>
      <c r="G18" s="130"/>
    </row>
    <row r="19" spans="2:7" x14ac:dyDescent="0.2">
      <c r="B19" s="6" t="s">
        <v>39</v>
      </c>
      <c r="C19" s="186">
        <f>'table 1 &amp; 2'!C60/'table 1 &amp; 2'!C18*1000</f>
        <v>16.727622536027233</v>
      </c>
      <c r="D19" s="186">
        <f>'table 1 &amp; 2'!D60/'table 1 &amp; 2'!D18*1000</f>
        <v>22.236240140933738</v>
      </c>
      <c r="E19" s="187">
        <f>IF('table 1 &amp; 2'!F18="","N/A",'table 1 &amp; 2'!F60/'table 1 &amp; 2'!F18*1000)</f>
        <v>22.357775306688421</v>
      </c>
      <c r="F19" s="186" t="str">
        <f>IF('table 1 &amp; 2'!G18="","N/A",'table 1 &amp; 2'!G60/'table 1 &amp; 2'!G18*1000)</f>
        <v>N/A</v>
      </c>
      <c r="G19" s="130"/>
    </row>
    <row r="20" spans="2:7" x14ac:dyDescent="0.2">
      <c r="B20" s="8" t="s">
        <v>40</v>
      </c>
      <c r="C20" s="66">
        <f>'table 1 &amp; 2'!C61/'table 1 &amp; 2'!C19*1000</f>
        <v>26.37847192929048</v>
      </c>
      <c r="D20" s="66">
        <f>'table 1 &amp; 2'!D61/'table 1 &amp; 2'!D19*1000</f>
        <v>27.713539635948877</v>
      </c>
      <c r="E20" s="65" t="str">
        <f>IF('table 1 &amp; 2'!F19="","N/A",'table 1 &amp; 2'!F61/'table 1 &amp; 2'!F19*1000)</f>
        <v>N/A</v>
      </c>
      <c r="F20" s="66" t="str">
        <f>IF('table 1 &amp; 2'!G19="","N/A",'table 1 &amp; 2'!G61/'table 1 &amp; 2'!G19*1000)</f>
        <v>N/A</v>
      </c>
      <c r="G20" s="130"/>
    </row>
    <row r="21" spans="2:7" x14ac:dyDescent="0.2">
      <c r="B21" s="6" t="s">
        <v>41</v>
      </c>
      <c r="C21" s="186">
        <f>'table 1 &amp; 2'!C62/'table 1 &amp; 2'!C20*1000</f>
        <v>20.630623354386557</v>
      </c>
      <c r="D21" s="186">
        <f>'table 1 &amp; 2'!D62/'table 1 &amp; 2'!D20*1000</f>
        <v>25.144252852246815</v>
      </c>
      <c r="E21" s="187">
        <f>IF('table 1 &amp; 2'!F20="","N/A",'table 1 &amp; 2'!F62/'table 1 &amp; 2'!F20*1000)</f>
        <v>26.067741757657679</v>
      </c>
      <c r="F21" s="186">
        <f>IF('table 1 &amp; 2'!G20="","N/A",'table 1 &amp; 2'!G62/'table 1 &amp; 2'!G20*1000)</f>
        <v>26.042413402817363</v>
      </c>
      <c r="G21" s="130"/>
    </row>
    <row r="22" spans="2:7" x14ac:dyDescent="0.2">
      <c r="B22" s="8" t="s">
        <v>42</v>
      </c>
      <c r="C22" s="66">
        <f>'table 1 &amp; 2'!C63/'table 1 &amp; 2'!C21*1000</f>
        <v>19.564060901822128</v>
      </c>
      <c r="D22" s="66">
        <f>'table 1 &amp; 2'!D63/'table 1 &amp; 2'!D21*1000</f>
        <v>21.597524884976178</v>
      </c>
      <c r="E22" s="65" t="str">
        <f>IF('table 1 &amp; 2'!F21="","N/A",'table 1 &amp; 2'!F63/'table 1 &amp; 2'!F21*1000)</f>
        <v>N/A</v>
      </c>
      <c r="F22" s="66" t="str">
        <f>IF('table 1 &amp; 2'!G21="","N/A",'table 1 &amp; 2'!G63/'table 1 &amp; 2'!G21*1000)</f>
        <v>N/A</v>
      </c>
      <c r="G22" s="130"/>
    </row>
    <row r="23" spans="2:7" x14ac:dyDescent="0.2">
      <c r="B23" s="6" t="s">
        <v>43</v>
      </c>
      <c r="C23" s="186">
        <f>'table 1 &amp; 2'!C64/'table 1 &amp; 2'!C22*1000</f>
        <v>26.855887402669669</v>
      </c>
      <c r="D23" s="186">
        <f>'table 1 &amp; 2'!D64/'table 1 &amp; 2'!D22*1000</f>
        <v>27.383579882210853</v>
      </c>
      <c r="E23" s="187">
        <f>IF('table 1 &amp; 2'!F22="","N/A",'table 1 &amp; 2'!F64/'table 1 &amp; 2'!F22*1000)</f>
        <v>24.11881496263149</v>
      </c>
      <c r="F23" s="186">
        <f>IF('table 1 &amp; 2'!G22="","N/A",'table 1 &amp; 2'!G64/'table 1 &amp; 2'!G22*1000)</f>
        <v>24.16320802633626</v>
      </c>
      <c r="G23" s="130"/>
    </row>
    <row r="24" spans="2:7" x14ac:dyDescent="0.2">
      <c r="B24" s="8" t="s">
        <v>44</v>
      </c>
      <c r="C24" s="66">
        <f>'table 1 &amp; 2'!C65/'table 1 &amp; 2'!C23*1000</f>
        <v>23.489741057615323</v>
      </c>
      <c r="D24" s="66">
        <f>'table 1 &amp; 2'!D65/'table 1 &amp; 2'!D23*1000</f>
        <v>23.443517282490319</v>
      </c>
      <c r="E24" s="65" t="str">
        <f>IF('table 1 &amp; 2'!F23="","N/A",'table 1 &amp; 2'!F65/'table 1 &amp; 2'!F23*1000)</f>
        <v>N/A</v>
      </c>
      <c r="F24" s="66" t="str">
        <f>IF('table 1 &amp; 2'!G23="","N/A",'table 1 &amp; 2'!G65/'table 1 &amp; 2'!G23*1000)</f>
        <v>N/A</v>
      </c>
      <c r="G24" s="130"/>
    </row>
    <row r="25" spans="2:7" x14ac:dyDescent="0.2">
      <c r="B25" s="6" t="s">
        <v>45</v>
      </c>
      <c r="C25" s="186">
        <f>'table 1 &amp; 2'!C66/'table 1 &amp; 2'!C24*1000</f>
        <v>24.156999999999996</v>
      </c>
      <c r="D25" s="186">
        <f>'table 1 &amp; 2'!D66/'table 1 &amp; 2'!D24*1000</f>
        <v>28.713999999999995</v>
      </c>
      <c r="E25" s="187" t="str">
        <f>IF('table 1 &amp; 2'!F24="","N/A",'table 1 &amp; 2'!F66/'table 1 &amp; 2'!F24*1000)</f>
        <v>N/A</v>
      </c>
      <c r="F25" s="186" t="str">
        <f>IF('table 1 &amp; 2'!G24="","N/A",'table 1 &amp; 2'!G66/'table 1 &amp; 2'!G24*1000)</f>
        <v>N/A</v>
      </c>
      <c r="G25" s="130"/>
    </row>
    <row r="26" spans="2:7" x14ac:dyDescent="0.2">
      <c r="B26" s="8" t="s">
        <v>46</v>
      </c>
      <c r="C26" s="66">
        <f>'table 1 &amp; 2'!C67/'table 1 &amp; 2'!C25*1000</f>
        <v>22.893122617031828</v>
      </c>
      <c r="D26" s="66">
        <f>'table 1 &amp; 2'!D67/'table 1 &amp; 2'!D25*1000</f>
        <v>23.272837905752066</v>
      </c>
      <c r="E26" s="65" t="str">
        <f>IF('table 1 &amp; 2'!F25="","N/A",'table 1 &amp; 2'!F67/'table 1 &amp; 2'!F25*1000)</f>
        <v>N/A</v>
      </c>
      <c r="F26" s="66" t="str">
        <f>IF('table 1 &amp; 2'!G25="","N/A",'table 1 &amp; 2'!G67/'table 1 &amp; 2'!G25*1000)</f>
        <v>N/A</v>
      </c>
      <c r="G26" s="130"/>
    </row>
    <row r="27" spans="2:7" x14ac:dyDescent="0.2">
      <c r="B27" s="6" t="s">
        <v>47</v>
      </c>
      <c r="C27" s="186">
        <f>'table 1 &amp; 2'!C68/'table 1 &amp; 2'!C26*1000</f>
        <v>34.743702912709665</v>
      </c>
      <c r="D27" s="186">
        <f>'table 1 &amp; 2'!D68/'table 1 &amp; 2'!D26*1000</f>
        <v>36.728085860572214</v>
      </c>
      <c r="E27" s="187">
        <f>IF('table 1 &amp; 2'!F26="","N/A",'table 1 &amp; 2'!F68/'table 1 &amp; 2'!F26*1000)</f>
        <v>33.761000000000003</v>
      </c>
      <c r="F27" s="186">
        <f>IF('table 1 &amp; 2'!G26="","N/A",'table 1 &amp; 2'!G68/'table 1 &amp; 2'!G26*1000)</f>
        <v>33.761000000000003</v>
      </c>
      <c r="G27" s="130"/>
    </row>
    <row r="28" spans="2:7" x14ac:dyDescent="0.2">
      <c r="B28" s="8" t="s">
        <v>48</v>
      </c>
      <c r="C28" s="66">
        <f>'table 1 &amp; 2'!C69/'table 1 &amp; 2'!C27*1000</f>
        <v>18.46120560392712</v>
      </c>
      <c r="D28" s="66">
        <f>'table 1 &amp; 2'!D69/'table 1 &amp; 2'!D27*1000</f>
        <v>24.747006630313528</v>
      </c>
      <c r="E28" s="65" t="str">
        <f>IF('table 1 &amp; 2'!F27="","N/A",'table 1 &amp; 2'!F69/'table 1 &amp; 2'!F27*1000)</f>
        <v>N/A</v>
      </c>
      <c r="F28" s="66" t="str">
        <f>IF('table 1 &amp; 2'!G27="","N/A",'table 1 &amp; 2'!G69/'table 1 &amp; 2'!G27*1000)</f>
        <v>N/A</v>
      </c>
      <c r="G28" s="130"/>
    </row>
    <row r="29" spans="2:7" x14ac:dyDescent="0.2">
      <c r="B29" s="6" t="s">
        <v>49</v>
      </c>
      <c r="C29" s="186">
        <f>'table 1 &amp; 2'!C70/'table 1 &amp; 2'!C28*1000</f>
        <v>22.798272035186944</v>
      </c>
      <c r="D29" s="186">
        <f>'table 1 &amp; 2'!D70/'table 1 &amp; 2'!D28*1000</f>
        <v>28.044887219580545</v>
      </c>
      <c r="E29" s="187" t="str">
        <f>IF('table 1 &amp; 2'!F28="","N/A",'table 1 &amp; 2'!F70/'table 1 &amp; 2'!F28*1000)</f>
        <v>N/A</v>
      </c>
      <c r="F29" s="186" t="str">
        <f>IF('table 1 &amp; 2'!G28="","N/A",'table 1 &amp; 2'!G70/'table 1 &amp; 2'!G28*1000)</f>
        <v>N/A</v>
      </c>
      <c r="G29" s="130"/>
    </row>
    <row r="30" spans="2:7" x14ac:dyDescent="0.2">
      <c r="B30" s="8" t="s">
        <v>50</v>
      </c>
      <c r="C30" s="66">
        <f>'table 1 &amp; 2'!C71/'table 1 &amp; 2'!C29*1000</f>
        <v>27.197056006134453</v>
      </c>
      <c r="D30" s="66">
        <f>'table 1 &amp; 2'!D71/'table 1 &amp; 2'!D29*1000</f>
        <v>26.90129893900566</v>
      </c>
      <c r="E30" s="65">
        <f>IF('table 1 &amp; 2'!F29="","N/A",'table 1 &amp; 2'!F71/'table 1 &amp; 2'!F29*1000)</f>
        <v>21</v>
      </c>
      <c r="F30" s="66">
        <f>IF('table 1 &amp; 2'!G29="","N/A",'table 1 &amp; 2'!G71/'table 1 &amp; 2'!G29*1000)</f>
        <v>21</v>
      </c>
      <c r="G30" s="130"/>
    </row>
    <row r="31" spans="2:7" x14ac:dyDescent="0.2">
      <c r="B31" s="6" t="s">
        <v>51</v>
      </c>
      <c r="C31" s="186">
        <f>'table 1 &amp; 2'!C72/'table 1 &amp; 2'!C30*1000</f>
        <v>24.45079951263677</v>
      </c>
      <c r="D31" s="186">
        <f>'table 1 &amp; 2'!D72/'table 1 &amp; 2'!D30*1000</f>
        <v>29.117572189623839</v>
      </c>
      <c r="E31" s="187">
        <f>IF('table 1 &amp; 2'!F30="","N/A",'table 1 &amp; 2'!F72/'table 1 &amp; 2'!F30*1000)</f>
        <v>24.536230253845538</v>
      </c>
      <c r="F31" s="186">
        <f>IF('table 1 &amp; 2'!G30="","N/A",'table 1 &amp; 2'!G72/'table 1 &amp; 2'!G30*1000)</f>
        <v>24.522081438774077</v>
      </c>
      <c r="G31" s="130"/>
    </row>
    <row r="32" spans="2:7" x14ac:dyDescent="0.2">
      <c r="B32" s="8" t="s">
        <v>52</v>
      </c>
      <c r="C32" s="66">
        <f>'table 1 &amp; 2'!C73/'table 1 &amp; 2'!C31*1000</f>
        <v>23.060099192727428</v>
      </c>
      <c r="D32" s="66">
        <f>'table 1 &amp; 2'!D73/'table 1 &amp; 2'!D31*1000</f>
        <v>21.962243380799006</v>
      </c>
      <c r="E32" s="65">
        <f>IF('table 1 &amp; 2'!F31="","N/A",'table 1 &amp; 2'!F73/'table 1 &amp; 2'!F31*1000)</f>
        <v>20.483422506211269</v>
      </c>
      <c r="F32" s="66">
        <f>IF('table 1 &amp; 2'!G31="","N/A",'table 1 &amp; 2'!G73/'table 1 &amp; 2'!G31*1000)</f>
        <v>20.523582242079293</v>
      </c>
      <c r="G32" s="130"/>
    </row>
    <row r="33" spans="2:8" x14ac:dyDescent="0.2">
      <c r="B33" s="6" t="s">
        <v>53</v>
      </c>
      <c r="C33" s="186">
        <f>'table 1 &amp; 2'!C74/'table 1 &amp; 2'!C32*1000</f>
        <v>24.584102056605431</v>
      </c>
      <c r="D33" s="186">
        <f>'table 1 &amp; 2'!D74/'table 1 &amp; 2'!D32*1000</f>
        <v>26.260024658034386</v>
      </c>
      <c r="E33" s="187">
        <f>IF('table 1 &amp; 2'!F32="","N/A",'table 1 &amp; 2'!F74/'table 1 &amp; 2'!F32*1000)</f>
        <v>27.127048716078804</v>
      </c>
      <c r="F33" s="186">
        <f>IF('table 1 &amp; 2'!G32="","N/A",'table 1 &amp; 2'!G74/'table 1 &amp; 2'!G32*1000)</f>
        <v>27.118716578001361</v>
      </c>
      <c r="G33" s="130"/>
    </row>
    <row r="34" spans="2:8" x14ac:dyDescent="0.2">
      <c r="B34" s="8" t="s">
        <v>54</v>
      </c>
      <c r="C34" s="66">
        <f>'table 1 &amp; 2'!C75/'table 1 &amp; 2'!C33*1000</f>
        <v>22.588589434832837</v>
      </c>
      <c r="D34" s="66">
        <f>'table 1 &amp; 2'!D75/'table 1 &amp; 2'!D33*1000</f>
        <v>30.143391020265444</v>
      </c>
      <c r="E34" s="65" t="str">
        <f>IF('table 1 &amp; 2'!F33="","N/A",'table 1 &amp; 2'!F75/'table 1 &amp; 2'!F33*1000)</f>
        <v>N/A</v>
      </c>
      <c r="F34" s="66" t="str">
        <f>IF('table 1 &amp; 2'!G33="","N/A",'table 1 &amp; 2'!G75/'table 1 &amp; 2'!G33*1000)</f>
        <v>N/A</v>
      </c>
      <c r="G34" s="130"/>
    </row>
    <row r="35" spans="2:8" x14ac:dyDescent="0.2">
      <c r="B35" s="6" t="s">
        <v>55</v>
      </c>
      <c r="C35" s="186">
        <f>'table 1 &amp; 2'!C76/'table 1 &amp; 2'!C34*1000</f>
        <v>34.255609576761358</v>
      </c>
      <c r="D35" s="186">
        <f>'table 1 &amp; 2'!D76/'table 1 &amp; 2'!D34*1000</f>
        <v>37.286300635440924</v>
      </c>
      <c r="E35" s="187">
        <f>IF('table 1 &amp; 2'!F34="","N/A",'table 1 &amp; 2'!F76/'table 1 &amp; 2'!F34*1000)</f>
        <v>27.018999999999998</v>
      </c>
      <c r="F35" s="186">
        <f>IF('table 1 &amp; 2'!G34="","N/A",'table 1 &amp; 2'!G76/'table 1 &amp; 2'!G34*1000)</f>
        <v>27.019000000000002</v>
      </c>
      <c r="G35" s="130"/>
    </row>
    <row r="36" spans="2:8" x14ac:dyDescent="0.2">
      <c r="B36" s="8" t="s">
        <v>56</v>
      </c>
      <c r="C36" s="66">
        <f>'table 1 &amp; 2'!C77/'table 1 &amp; 2'!C35*1000</f>
        <v>22.999875167396709</v>
      </c>
      <c r="D36" s="66">
        <f>'table 1 &amp; 2'!D77/'table 1 &amp; 2'!D35*1000</f>
        <v>31.646704093082441</v>
      </c>
      <c r="E36" s="65" t="str">
        <f>IF('table 1 &amp; 2'!F35="","N/A",'table 1 &amp; 2'!F77/'table 1 &amp; 2'!F35*1000)</f>
        <v>N/A</v>
      </c>
      <c r="F36" s="66" t="str">
        <f>IF('table 1 &amp; 2'!G35="","N/A",'table 1 &amp; 2'!G77/'table 1 &amp; 2'!G35*1000)</f>
        <v>N/A</v>
      </c>
      <c r="G36" s="130"/>
    </row>
    <row r="37" spans="2:8" x14ac:dyDescent="0.2">
      <c r="B37" s="6" t="s">
        <v>57</v>
      </c>
      <c r="C37" s="186">
        <f>'table 1 &amp; 2'!C78/'table 1 &amp; 2'!C36*1000</f>
        <v>24.138230068162819</v>
      </c>
      <c r="D37" s="186">
        <f>'table 1 &amp; 2'!D78/'table 1 &amp; 2'!D36*1000</f>
        <v>24.321835897922455</v>
      </c>
      <c r="E37" s="187" t="str">
        <f>IF('table 1 &amp; 2'!F36="","N/A",'table 1 &amp; 2'!F78/'table 1 &amp; 2'!F36*1000)</f>
        <v>N/A</v>
      </c>
      <c r="F37" s="186" t="str">
        <f>IF('table 1 &amp; 2'!G36="","N/A",'table 1 &amp; 2'!G78/'table 1 &amp; 2'!G36*1000)</f>
        <v>N/A</v>
      </c>
      <c r="G37" s="130"/>
    </row>
    <row r="38" spans="2:8" x14ac:dyDescent="0.2">
      <c r="B38" s="8" t="s">
        <v>58</v>
      </c>
      <c r="C38" s="66">
        <f>'table 1 &amp; 2'!C79/'table 1 &amp; 2'!C37*1000</f>
        <v>33.396893606415702</v>
      </c>
      <c r="D38" s="66">
        <f>'table 1 &amp; 2'!D79/'table 1 &amp; 2'!D37*1000</f>
        <v>33.931192831659963</v>
      </c>
      <c r="E38" s="65" t="str">
        <f>IF('table 1 &amp; 2'!F37="","N/A",'table 1 &amp; 2'!F79/'table 1 &amp; 2'!F37*1000)</f>
        <v>N/A</v>
      </c>
      <c r="F38" s="66" t="str">
        <f>IF('table 1 &amp; 2'!G37="","N/A",'table 1 &amp; 2'!G79/'table 1 &amp; 2'!G37*1000)</f>
        <v>N/A</v>
      </c>
      <c r="G38" s="130"/>
    </row>
    <row r="39" spans="2:8" x14ac:dyDescent="0.2">
      <c r="B39" s="6" t="s">
        <v>59</v>
      </c>
      <c r="C39" s="186">
        <f>'table 1 &amp; 2'!C80/'table 1 &amp; 2'!C38*1000</f>
        <v>18.030275680071998</v>
      </c>
      <c r="D39" s="186">
        <f>'table 1 &amp; 2'!D80/'table 1 &amp; 2'!D38*1000</f>
        <v>26.326602416587395</v>
      </c>
      <c r="E39" s="187" t="str">
        <f>IF('table 1 &amp; 2'!F38="","N/A",'table 1 &amp; 2'!F80/'table 1 &amp; 2'!F38*1000)</f>
        <v>N/A</v>
      </c>
      <c r="F39" s="186" t="str">
        <f>IF('table 1 &amp; 2'!G38="","N/A",'table 1 &amp; 2'!G80/'table 1 &amp; 2'!G38*1000)</f>
        <v>N/A</v>
      </c>
      <c r="G39" s="130"/>
    </row>
    <row r="40" spans="2:8" x14ac:dyDescent="0.2">
      <c r="B40" s="8" t="s">
        <v>60</v>
      </c>
      <c r="C40" s="66">
        <f>'table 1 &amp; 2'!C81/'table 1 &amp; 2'!C39*1000</f>
        <v>23.85602173826263</v>
      </c>
      <c r="D40" s="66">
        <f>'table 1 &amp; 2'!D81/'table 1 &amp; 2'!D39*1000</f>
        <v>22.469274869919463</v>
      </c>
      <c r="E40" s="65" t="str">
        <f>IF('table 1 &amp; 2'!F39="","N/A",'table 1 &amp; 2'!F81/'table 1 &amp; 2'!F39*1000)</f>
        <v>N/A</v>
      </c>
      <c r="F40" s="66" t="str">
        <f>IF('table 1 &amp; 2'!G39="","N/A",'table 1 &amp; 2'!G81/'table 1 &amp; 2'!G39*1000)</f>
        <v>N/A</v>
      </c>
      <c r="G40" s="130"/>
    </row>
    <row r="41" spans="2:8" x14ac:dyDescent="0.2">
      <c r="B41" s="6" t="s">
        <v>61</v>
      </c>
      <c r="C41" s="186">
        <f>'table 1 &amp; 2'!C82/'table 1 &amp; 2'!C40*1000</f>
        <v>23.045981191732956</v>
      </c>
      <c r="D41" s="186">
        <f>'table 1 &amp; 2'!D82/'table 1 &amp; 2'!D40*1000</f>
        <v>23.971063721415671</v>
      </c>
      <c r="E41" s="187">
        <f>IF('table 1 &amp; 2'!F40="","N/A",'table 1 &amp; 2'!F82/'table 1 &amp; 2'!F40*1000)</f>
        <v>22.211000000000002</v>
      </c>
      <c r="F41" s="186">
        <f>IF('table 1 &amp; 2'!G40="","N/A",'table 1 &amp; 2'!G82/'table 1 &amp; 2'!G40*1000)</f>
        <v>22.211000000000002</v>
      </c>
      <c r="G41" s="130"/>
    </row>
    <row r="42" spans="2:8" x14ac:dyDescent="0.2">
      <c r="B42" s="8" t="s">
        <v>62</v>
      </c>
      <c r="C42" s="66">
        <f>'table 1 &amp; 2'!C83/'table 1 &amp; 2'!C41*1000</f>
        <v>31.986820547139381</v>
      </c>
      <c r="D42" s="66">
        <f>'table 1 &amp; 2'!D83/'table 1 &amp; 2'!D41*1000</f>
        <v>36.369341380768461</v>
      </c>
      <c r="E42" s="65" t="str">
        <f>IF('table 1 &amp; 2'!F41="","N/A",'table 1 &amp; 2'!F83/'table 1 &amp; 2'!F41*1000)</f>
        <v>N/A</v>
      </c>
      <c r="F42" s="66" t="str">
        <f>IF('table 1 &amp; 2'!G41="","N/A",'table 1 &amp; 2'!G83/'table 1 &amp; 2'!G41*1000)</f>
        <v>N/A</v>
      </c>
      <c r="G42" s="130"/>
    </row>
    <row r="43" spans="2:8" x14ac:dyDescent="0.2">
      <c r="B43" s="6" t="s">
        <v>445</v>
      </c>
      <c r="C43" s="186">
        <f>'table 1 &amp; 2'!C84/'table 1 &amp; 2'!C42*1000</f>
        <v>31.370970056238264</v>
      </c>
      <c r="D43" s="186">
        <f>'table 1 &amp; 2'!D84/'table 1 &amp; 2'!D42*1000</f>
        <v>31.184001668006541</v>
      </c>
      <c r="E43" s="187">
        <f>IF('table 1 &amp; 2'!F42="","N/A",'table 1 &amp; 2'!F84/'table 1 &amp; 2'!F42*1000)</f>
        <v>23.005733763891133</v>
      </c>
      <c r="F43" s="186">
        <f>IF('table 1 &amp; 2'!G42="","N/A",'table 1 &amp; 2'!G84/'table 1 &amp; 2'!G42*1000)</f>
        <v>23.041264658944147</v>
      </c>
      <c r="G43" s="130"/>
    </row>
    <row r="44" spans="2:8" ht="13.5" thickBot="1" x14ac:dyDescent="0.25">
      <c r="B44" s="483" t="s">
        <v>446</v>
      </c>
      <c r="C44" s="484">
        <f>MEDIAN(C10:C42)</f>
        <v>24.138230068162819</v>
      </c>
      <c r="D44" s="484">
        <f t="shared" ref="D44:F44" si="0">MEDIAN(D10:D42)</f>
        <v>26.526580700240984</v>
      </c>
      <c r="E44" s="485">
        <f t="shared" si="0"/>
        <v>22.357775306688421</v>
      </c>
      <c r="F44" s="484">
        <f t="shared" si="0"/>
        <v>23.187104013168131</v>
      </c>
      <c r="G44" s="130"/>
    </row>
    <row r="45" spans="2:8" ht="15.6" customHeight="1" x14ac:dyDescent="0.2">
      <c r="B45" s="599" t="s">
        <v>426</v>
      </c>
      <c r="C45" s="599"/>
      <c r="D45" s="599"/>
      <c r="E45" s="599"/>
      <c r="F45" s="599"/>
      <c r="G45" s="600"/>
    </row>
    <row r="46" spans="2:8" ht="15" customHeight="1" x14ac:dyDescent="0.2">
      <c r="B46" s="50" t="s">
        <v>352</v>
      </c>
      <c r="C46" s="6"/>
      <c r="D46" s="6"/>
      <c r="E46" s="6"/>
      <c r="F46" s="6"/>
      <c r="G46" s="6"/>
      <c r="H46" s="30"/>
    </row>
    <row r="47" spans="2:8" ht="13.9" customHeight="1" x14ac:dyDescent="0.2">
      <c r="B47" s="334" t="s">
        <v>478</v>
      </c>
      <c r="C47" s="6"/>
      <c r="D47" s="6"/>
      <c r="E47" s="6"/>
      <c r="F47" s="6"/>
      <c r="G47" s="6"/>
    </row>
    <row r="48" spans="2:8" ht="13.9" customHeight="1" x14ac:dyDescent="0.2">
      <c r="B48" s="335" t="s">
        <v>540</v>
      </c>
      <c r="C48" s="6"/>
      <c r="D48" s="6"/>
      <c r="E48" s="6"/>
      <c r="F48" s="6"/>
      <c r="G48" s="6"/>
    </row>
    <row r="49" spans="2:15" ht="9.75" customHeight="1" x14ac:dyDescent="0.2">
      <c r="B49" s="335"/>
      <c r="C49" s="6"/>
      <c r="D49" s="6"/>
      <c r="E49" s="6"/>
      <c r="F49" s="6"/>
      <c r="G49" s="6"/>
    </row>
    <row r="50" spans="2:15" ht="15.75" customHeight="1" x14ac:dyDescent="0.25">
      <c r="B50" s="3" t="s">
        <v>413</v>
      </c>
      <c r="C50" s="6"/>
      <c r="D50" s="6"/>
      <c r="E50" s="6"/>
      <c r="F50" s="6"/>
      <c r="G50" s="6"/>
      <c r="I50" s="583" t="s">
        <v>562</v>
      </c>
      <c r="J50" s="438"/>
      <c r="K50" s="438"/>
      <c r="L50" s="438"/>
      <c r="M50" s="438"/>
      <c r="N50" s="438"/>
      <c r="O50" s="438"/>
    </row>
    <row r="51" spans="2:15" ht="18.600000000000001" customHeight="1" x14ac:dyDescent="0.25">
      <c r="B51" s="3" t="s">
        <v>493</v>
      </c>
      <c r="C51" s="6"/>
      <c r="D51" s="6"/>
      <c r="E51" s="3" t="str">
        <f>D4</f>
        <v>2022 Tax Year</v>
      </c>
      <c r="F51" s="6"/>
      <c r="G51" s="6"/>
    </row>
    <row r="52" spans="2:15" x14ac:dyDescent="0.2">
      <c r="B52" s="6"/>
      <c r="C52" s="6"/>
      <c r="D52" s="6"/>
      <c r="E52" s="82" t="s">
        <v>321</v>
      </c>
      <c r="F52" s="6"/>
      <c r="G52" s="82" t="s">
        <v>320</v>
      </c>
    </row>
    <row r="53" spans="2:15" ht="13.5" thickBot="1" x14ac:dyDescent="0.25">
      <c r="B53" s="23" t="s">
        <v>27</v>
      </c>
      <c r="C53" s="24" t="s">
        <v>9</v>
      </c>
      <c r="D53" s="24" t="s">
        <v>28</v>
      </c>
      <c r="E53" s="25" t="s">
        <v>30</v>
      </c>
      <c r="F53" s="24" t="s">
        <v>10</v>
      </c>
      <c r="G53" s="25" t="s">
        <v>319</v>
      </c>
    </row>
    <row r="54" spans="2:15" x14ac:dyDescent="0.2">
      <c r="B54" s="8" t="s">
        <v>31</v>
      </c>
      <c r="C54" s="66">
        <f>+('table 1 &amp; 2'!C51/('table 1 &amp; 2'!C9*3))*100</f>
        <v>1.3706795200491924</v>
      </c>
      <c r="D54" s="66">
        <f>+('table 1 &amp; 2'!D51/('table 1 &amp; 2'!D9*3))*100</f>
        <v>1.5557722261460272</v>
      </c>
      <c r="E54" s="65" t="s">
        <v>69</v>
      </c>
      <c r="F54" s="66" t="s">
        <v>69</v>
      </c>
      <c r="G54" s="65">
        <f>+('table 1 &amp; 2'!B51/('table 1 &amp; 2'!B9*3))*100</f>
        <v>1.4092927889197078</v>
      </c>
    </row>
    <row r="55" spans="2:15" x14ac:dyDescent="0.2">
      <c r="B55" s="6" t="s">
        <v>32</v>
      </c>
      <c r="C55" s="186">
        <f>+('table 1 &amp; 2'!C52/('table 1 &amp; 2'!C10*3))*100</f>
        <v>0.58808979634299496</v>
      </c>
      <c r="D55" s="186">
        <f>+('table 1 &amp; 2'!D52/('table 1 &amp; 2'!D10*3))*100</f>
        <v>0.61134779952284934</v>
      </c>
      <c r="E55" s="187" t="s">
        <v>69</v>
      </c>
      <c r="F55" s="186" t="s">
        <v>69</v>
      </c>
      <c r="G55" s="187">
        <f>+('table 1 &amp; 2'!B52/('table 1 &amp; 2'!B10*3))*100</f>
        <v>0.59756306819354987</v>
      </c>
    </row>
    <row r="56" spans="2:15" x14ac:dyDescent="0.2">
      <c r="B56" s="8" t="s">
        <v>33</v>
      </c>
      <c r="C56" s="66">
        <f>+('table 1 &amp; 2'!C53/('table 1 &amp; 2'!C11*3))*100</f>
        <v>0.86326295756079774</v>
      </c>
      <c r="D56" s="66">
        <f>+('table 1 &amp; 2'!D53/('table 1 &amp; 2'!D11*3))*100</f>
        <v>0.89499363122601849</v>
      </c>
      <c r="E56" s="65">
        <f>+('table 1 &amp; 2'!F53/('table 1 &amp; 2'!F11*3))*100</f>
        <v>0.68786805395259121</v>
      </c>
      <c r="F56" s="66">
        <f>+('table 1 &amp; 2'!G53/('table 1 &amp; 2'!G11*3))*100</f>
        <v>0.68798562492408211</v>
      </c>
      <c r="G56" s="65">
        <f>+('table 1 &amp; 2'!B53/('table 1 &amp; 2'!B11*3))*100</f>
        <v>0.86969737584192097</v>
      </c>
    </row>
    <row r="57" spans="2:15" x14ac:dyDescent="0.2">
      <c r="B57" s="6" t="s">
        <v>34</v>
      </c>
      <c r="C57" s="186">
        <f>+('table 1 &amp; 2'!C54/('table 1 &amp; 2'!C12*3))*100</f>
        <v>1.0672316823854957</v>
      </c>
      <c r="D57" s="186">
        <f>+('table 1 &amp; 2'!D54/('table 1 &amp; 2'!D12*3))*100</f>
        <v>1.1563105894278642</v>
      </c>
      <c r="E57" s="187" t="s">
        <v>69</v>
      </c>
      <c r="F57" s="186" t="s">
        <v>69</v>
      </c>
      <c r="G57" s="187">
        <f>+('table 1 &amp; 2'!B54/('table 1 &amp; 2'!B12*3))*100</f>
        <v>1.1188129184461049</v>
      </c>
    </row>
    <row r="58" spans="2:15" x14ac:dyDescent="0.2">
      <c r="B58" s="8" t="s">
        <v>35</v>
      </c>
      <c r="C58" s="66">
        <f>+('table 1 &amp; 2'!C55/('table 1 &amp; 2'!C13*3))*100</f>
        <v>0.86732834674145454</v>
      </c>
      <c r="D58" s="66">
        <f>+('table 1 &amp; 2'!D55/('table 1 &amp; 2'!D13*3))*100</f>
        <v>0.88421935667469942</v>
      </c>
      <c r="E58" s="65">
        <f>+('table 1 &amp; 2'!F55/('table 1 &amp; 2'!F13*3))*100</f>
        <v>0.73714915082305177</v>
      </c>
      <c r="F58" s="66">
        <f>+('table 1 &amp; 2'!G55/('table 1 &amp; 2'!G13*3))*100</f>
        <v>0.73708508553681262</v>
      </c>
      <c r="G58" s="65">
        <f>+('table 1 &amp; 2'!B55/('table 1 &amp; 2'!B13*3))*100</f>
        <v>0.86579793633088908</v>
      </c>
    </row>
    <row r="59" spans="2:15" x14ac:dyDescent="0.2">
      <c r="B59" s="6" t="s">
        <v>36</v>
      </c>
      <c r="C59" s="186">
        <f>+('table 1 &amp; 2'!C56/('table 1 &amp; 2'!C14*3))*100</f>
        <v>0.81043999433225711</v>
      </c>
      <c r="D59" s="186">
        <f>+('table 1 &amp; 2'!D56/('table 1 &amp; 2'!D14*3))*100</f>
        <v>0.75960197637555027</v>
      </c>
      <c r="E59" s="187" t="s">
        <v>69</v>
      </c>
      <c r="F59" s="186" t="s">
        <v>69</v>
      </c>
      <c r="G59" s="187">
        <f>+('table 1 &amp; 2'!B56/('table 1 &amp; 2'!B14*3))*100</f>
        <v>0.79117209743031058</v>
      </c>
    </row>
    <row r="60" spans="2:15" x14ac:dyDescent="0.2">
      <c r="B60" s="8" t="s">
        <v>67</v>
      </c>
      <c r="C60" s="66">
        <f>+('table 1 &amp; 2'!C57/('table 1 &amp; 2'!C15*3))*100</f>
        <v>0.79561538048006952</v>
      </c>
      <c r="D60" s="66">
        <f>+('table 1 &amp; 2'!D57/('table 1 &amp; 2'!D15*3))*100</f>
        <v>0.75633983593497689</v>
      </c>
      <c r="E60" s="65" t="s">
        <v>69</v>
      </c>
      <c r="F60" s="66" t="s">
        <v>69</v>
      </c>
      <c r="G60" s="65">
        <f>+('table 1 &amp; 2'!B57/('table 1 &amp; 2'!B15*3))*100</f>
        <v>0.76398310400428238</v>
      </c>
    </row>
    <row r="61" spans="2:15" x14ac:dyDescent="0.2">
      <c r="B61" s="6" t="s">
        <v>37</v>
      </c>
      <c r="C61" s="186">
        <f>+('table 1 &amp; 2'!C58/('table 1 &amp; 2'!C16*3))*100</f>
        <v>0.98919358444216654</v>
      </c>
      <c r="D61" s="186">
        <f>+('table 1 &amp; 2'!D58/('table 1 &amp; 2'!D16*3))*100</f>
        <v>1.1158277168452251</v>
      </c>
      <c r="E61" s="187" t="s">
        <v>69</v>
      </c>
      <c r="F61" s="186" t="s">
        <v>69</v>
      </c>
      <c r="G61" s="187">
        <f>+('table 1 &amp; 2'!B58/('table 1 &amp; 2'!B16*3))*100</f>
        <v>1.0237811735027322</v>
      </c>
    </row>
    <row r="62" spans="2:15" x14ac:dyDescent="0.2">
      <c r="B62" s="8" t="s">
        <v>38</v>
      </c>
      <c r="C62" s="66">
        <f>+('table 1 &amp; 2'!C59/('table 1 &amp; 2'!C17*3))*100</f>
        <v>0.78698900002269978</v>
      </c>
      <c r="D62" s="66">
        <f>+('table 1 &amp; 2'!D59/('table 1 &amp; 2'!D17*3))*100</f>
        <v>0.76225908168022494</v>
      </c>
      <c r="E62" s="65">
        <f>+('table 1 &amp; 2'!F59/('table 1 &amp; 2'!F17*3))*100</f>
        <v>0.70599085308127618</v>
      </c>
      <c r="F62" s="66">
        <f>+('table 1 &amp; 2'!G59/('table 1 &amp; 2'!G17*3))*100</f>
        <v>0.70529075574031563</v>
      </c>
      <c r="G62" s="65">
        <f>+('table 1 &amp; 2'!B59/('table 1 &amp; 2'!B17*3))*100</f>
        <v>0.72509255241164472</v>
      </c>
    </row>
    <row r="63" spans="2:15" x14ac:dyDescent="0.2">
      <c r="B63" s="6" t="s">
        <v>39</v>
      </c>
      <c r="C63" s="186">
        <f>+('table 1 &amp; 2'!C60/('table 1 &amp; 2'!C18*3))*100</f>
        <v>0.55758741786757449</v>
      </c>
      <c r="D63" s="186">
        <f>+('table 1 &amp; 2'!D60/('table 1 &amp; 2'!D18*3))*100</f>
        <v>0.74120800469779136</v>
      </c>
      <c r="E63" s="187">
        <f>+('table 1 &amp; 2'!F60/('table 1 &amp; 2'!F18*3))*100</f>
        <v>0.74525917688961396</v>
      </c>
      <c r="F63" s="186" t="s">
        <v>69</v>
      </c>
      <c r="G63" s="187">
        <f>+('table 1 &amp; 2'!B60/('table 1 &amp; 2'!B18*3))*100</f>
        <v>0.635807217643238</v>
      </c>
    </row>
    <row r="64" spans="2:15" x14ac:dyDescent="0.2">
      <c r="B64" s="8" t="s">
        <v>40</v>
      </c>
      <c r="C64" s="66">
        <f>+('table 1 &amp; 2'!C61/('table 1 &amp; 2'!C19*3))*100</f>
        <v>0.87928239764301608</v>
      </c>
      <c r="D64" s="66">
        <f>+('table 1 &amp; 2'!D61/('table 1 &amp; 2'!D19*3))*100</f>
        <v>0.92378465453162917</v>
      </c>
      <c r="E64" s="330" t="s">
        <v>69</v>
      </c>
      <c r="F64" s="331" t="s">
        <v>69</v>
      </c>
      <c r="G64" s="65">
        <f>+('table 1 &amp; 2'!B61/('table 1 &amp; 2'!B19*3))*100</f>
        <v>0.91433165919602211</v>
      </c>
    </row>
    <row r="65" spans="2:10" x14ac:dyDescent="0.2">
      <c r="B65" s="6" t="s">
        <v>41</v>
      </c>
      <c r="C65" s="186">
        <f>+('table 1 &amp; 2'!C62/('table 1 &amp; 2'!C20*3))*100</f>
        <v>0.68768744514621871</v>
      </c>
      <c r="D65" s="186">
        <f>+('table 1 &amp; 2'!D62/('table 1 &amp; 2'!D20*3))*100</f>
        <v>0.83814176174156052</v>
      </c>
      <c r="E65" s="187">
        <f>+('table 1 &amp; 2'!F62/('table 1 &amp; 2'!F20*3))*100</f>
        <v>0.86892472525525588</v>
      </c>
      <c r="F65" s="186">
        <f>+('table 1 &amp; 2'!G62/('table 1 &amp; 2'!G20*3))*100</f>
        <v>0.86808044676057872</v>
      </c>
      <c r="G65" s="187">
        <f>+('table 1 &amp; 2'!B62/('table 1 &amp; 2'!B20*3))*100</f>
        <v>0.8333754598768881</v>
      </c>
    </row>
    <row r="66" spans="2:10" x14ac:dyDescent="0.2">
      <c r="B66" s="8" t="s">
        <v>42</v>
      </c>
      <c r="C66" s="66">
        <f>+('table 1 &amp; 2'!C63/('table 1 &amp; 2'!C21*3))*100</f>
        <v>0.65213536339407097</v>
      </c>
      <c r="D66" s="66">
        <f>+('table 1 &amp; 2'!D63/('table 1 &amp; 2'!D21*3))*100</f>
        <v>0.71991749616587253</v>
      </c>
      <c r="E66" s="65" t="s">
        <v>69</v>
      </c>
      <c r="F66" s="66" t="s">
        <v>69</v>
      </c>
      <c r="G66" s="65">
        <f>+('table 1 &amp; 2'!B63/('table 1 &amp; 2'!B21*3))*100</f>
        <v>0.70982338008273804</v>
      </c>
    </row>
    <row r="67" spans="2:10" x14ac:dyDescent="0.2">
      <c r="B67" s="6" t="s">
        <v>43</v>
      </c>
      <c r="C67" s="186">
        <f>+('table 1 &amp; 2'!C64/('table 1 &amp; 2'!C22*3))*100</f>
        <v>0.89519624675565568</v>
      </c>
      <c r="D67" s="186">
        <f>+('table 1 &amp; 2'!D64/('table 1 &amp; 2'!D22*3))*100</f>
        <v>0.91278599607369526</v>
      </c>
      <c r="E67" s="187">
        <f>+('table 1 &amp; 2'!F64/('table 1 &amp; 2'!F22*3))*100</f>
        <v>0.80396049875438302</v>
      </c>
      <c r="F67" s="186">
        <f>+('table 1 &amp; 2'!G64/('table 1 &amp; 2'!G22*3))*100</f>
        <v>0.80544026754454201</v>
      </c>
      <c r="G67" s="187">
        <f>+('table 1 &amp; 2'!B64/('table 1 &amp; 2'!B22*3))*100</f>
        <v>0.82438306926710569</v>
      </c>
    </row>
    <row r="68" spans="2:10" x14ac:dyDescent="0.2">
      <c r="B68" s="8" t="s">
        <v>44</v>
      </c>
      <c r="C68" s="66">
        <f>+('table 1 &amp; 2'!C65/('table 1 &amp; 2'!C23*3))*100</f>
        <v>0.78299136858717755</v>
      </c>
      <c r="D68" s="66">
        <f>+('table 1 &amp; 2'!D65/('table 1 &amp; 2'!D23*3))*100</f>
        <v>0.78145057608301061</v>
      </c>
      <c r="E68" s="65" t="s">
        <v>69</v>
      </c>
      <c r="F68" s="66" t="s">
        <v>69</v>
      </c>
      <c r="G68" s="65">
        <f>+('table 1 &amp; 2'!B65/('table 1 &amp; 2'!B23*3))*100</f>
        <v>0.78249965385491194</v>
      </c>
      <c r="J68" s="176"/>
    </row>
    <row r="69" spans="2:10" x14ac:dyDescent="0.2">
      <c r="B69" s="6" t="s">
        <v>45</v>
      </c>
      <c r="C69" s="186">
        <f>+('table 1 &amp; 2'!C66/('table 1 &amp; 2'!C24*3))*100</f>
        <v>0.80523333333333336</v>
      </c>
      <c r="D69" s="186">
        <f>+('table 1 &amp; 2'!D66/('table 1 &amp; 2'!D24*3))*100</f>
        <v>0.95713333333333328</v>
      </c>
      <c r="E69" s="187" t="s">
        <v>69</v>
      </c>
      <c r="F69" s="186" t="s">
        <v>69</v>
      </c>
      <c r="G69" s="187">
        <f>+('table 1 &amp; 2'!B66/('table 1 &amp; 2'!B24*3))*100</f>
        <v>0.82388169768362729</v>
      </c>
      <c r="J69" s="176"/>
    </row>
    <row r="70" spans="2:10" x14ac:dyDescent="0.2">
      <c r="B70" s="8" t="s">
        <v>46</v>
      </c>
      <c r="C70" s="66">
        <f>+('table 1 &amp; 2'!C67/('table 1 &amp; 2'!C25*3))*100</f>
        <v>0.76310408723439427</v>
      </c>
      <c r="D70" s="66">
        <f>+('table 1 &amp; 2'!D67/('table 1 &amp; 2'!D25*3))*100</f>
        <v>0.7757612635250688</v>
      </c>
      <c r="E70" s="65" t="s">
        <v>69</v>
      </c>
      <c r="F70" s="66" t="s">
        <v>69</v>
      </c>
      <c r="G70" s="65">
        <f>+('table 1 &amp; 2'!B67/('table 1 &amp; 2'!B25*3))*100</f>
        <v>0.7702293706114266</v>
      </c>
      <c r="J70" s="176"/>
    </row>
    <row r="71" spans="2:10" x14ac:dyDescent="0.2">
      <c r="B71" s="6" t="s">
        <v>47</v>
      </c>
      <c r="C71" s="186">
        <f>+('table 1 &amp; 2'!C68/('table 1 &amp; 2'!C26*3))*100</f>
        <v>1.1581234304236554</v>
      </c>
      <c r="D71" s="186">
        <f>+('table 1 &amp; 2'!D68/('table 1 &amp; 2'!D26*3))*100</f>
        <v>1.2242695286857406</v>
      </c>
      <c r="E71" s="187">
        <f>+('table 1 &amp; 2'!F68/('table 1 &amp; 2'!F26*3))*100</f>
        <v>1.1253666666666668</v>
      </c>
      <c r="F71" s="186">
        <f>+('table 1 &amp; 2'!G68/('table 1 &amp; 2'!G26*3))*100</f>
        <v>1.1253666666666666</v>
      </c>
      <c r="G71" s="187">
        <f>+('table 1 &amp; 2'!B68/('table 1 &amp; 2'!B26*3))*100</f>
        <v>1.1990261833100824</v>
      </c>
      <c r="J71" s="184"/>
    </row>
    <row r="72" spans="2:10" x14ac:dyDescent="0.2">
      <c r="B72" s="8" t="s">
        <v>48</v>
      </c>
      <c r="C72" s="66">
        <f>+('table 1 &amp; 2'!C69/('table 1 &amp; 2'!C27*3))*100</f>
        <v>0.61537352013090396</v>
      </c>
      <c r="D72" s="66">
        <f>+('table 1 &amp; 2'!D69/('table 1 &amp; 2'!D27*3))*100</f>
        <v>0.82490022101045102</v>
      </c>
      <c r="E72" s="65" t="s">
        <v>69</v>
      </c>
      <c r="F72" s="66" t="s">
        <v>69</v>
      </c>
      <c r="G72" s="65">
        <f>+('table 1 &amp; 2'!B69/('table 1 &amp; 2'!B27*3))*100</f>
        <v>0.71109347235764364</v>
      </c>
    </row>
    <row r="73" spans="2:10" x14ac:dyDescent="0.2">
      <c r="B73" s="6" t="s">
        <v>49</v>
      </c>
      <c r="C73" s="186">
        <f>+('table 1 &amp; 2'!C70/('table 1 &amp; 2'!C28*3))*100</f>
        <v>0.75994240117289813</v>
      </c>
      <c r="D73" s="186">
        <f>+('table 1 &amp; 2'!D70/('table 1 &amp; 2'!D28*3))*100</f>
        <v>0.93482957398601818</v>
      </c>
      <c r="E73" s="187" t="s">
        <v>69</v>
      </c>
      <c r="F73" s="186" t="s">
        <v>69</v>
      </c>
      <c r="G73" s="187">
        <f>+('table 1 &amp; 2'!B70/('table 1 &amp; 2'!B28*3))*100</f>
        <v>0.81597664528940683</v>
      </c>
    </row>
    <row r="74" spans="2:10" x14ac:dyDescent="0.2">
      <c r="B74" s="8" t="s">
        <v>50</v>
      </c>
      <c r="C74" s="66">
        <f>+('table 1 &amp; 2'!C71/('table 1 &amp; 2'!C29*3))*100</f>
        <v>0.90656853353781508</v>
      </c>
      <c r="D74" s="66">
        <f>+('table 1 &amp; 2'!D71/('table 1 &amp; 2'!D29*3))*100</f>
        <v>0.89670996463352193</v>
      </c>
      <c r="E74" s="65">
        <f>+('table 1 &amp; 2'!F71/('table 1 &amp; 2'!F29*3))*100</f>
        <v>0.70000000000000007</v>
      </c>
      <c r="F74" s="66">
        <f>+('table 1 &amp; 2'!G71/('table 1 &amp; 2'!G29*3))*100</f>
        <v>0.70000000000000007</v>
      </c>
      <c r="G74" s="65">
        <f>+('table 1 &amp; 2'!B71/('table 1 &amp; 2'!B29*3))*100</f>
        <v>0.8995377290065425</v>
      </c>
    </row>
    <row r="75" spans="2:10" x14ac:dyDescent="0.2">
      <c r="B75" s="6" t="s">
        <v>51</v>
      </c>
      <c r="C75" s="186">
        <f>+('table 1 &amp; 2'!C72/('table 1 &amp; 2'!C30*3))*100</f>
        <v>0.81502665042122568</v>
      </c>
      <c r="D75" s="186">
        <f>+('table 1 &amp; 2'!D72/('table 1 &amp; 2'!D30*3))*100</f>
        <v>0.97058573965412809</v>
      </c>
      <c r="E75" s="187">
        <f>+('table 1 &amp; 2'!F72/('table 1 &amp; 2'!F30*3))*100</f>
        <v>0.8178743417948513</v>
      </c>
      <c r="F75" s="186">
        <f>+('table 1 &amp; 2'!G72/('table 1 &amp; 2'!G30*3))*100</f>
        <v>0.8174027146258025</v>
      </c>
      <c r="G75" s="187">
        <f>+('table 1 &amp; 2'!B72/('table 1 &amp; 2'!B30*3))*100</f>
        <v>0.85540059282645586</v>
      </c>
    </row>
    <row r="76" spans="2:10" x14ac:dyDescent="0.2">
      <c r="B76" s="8" t="s">
        <v>52</v>
      </c>
      <c r="C76" s="66">
        <f>+('table 1 &amp; 2'!C73/('table 1 &amp; 2'!C31*3))*100</f>
        <v>0.76866997309091423</v>
      </c>
      <c r="D76" s="66">
        <f>+('table 1 &amp; 2'!D73/('table 1 &amp; 2'!D31*3))*100</f>
        <v>0.7320747793599669</v>
      </c>
      <c r="E76" s="65">
        <f>+('table 1 &amp; 2'!F73/('table 1 &amp; 2'!F31*3))*100</f>
        <v>0.68278075020704232</v>
      </c>
      <c r="F76" s="66">
        <f>+('table 1 &amp; 2'!G73/('table 1 &amp; 2'!G31*3))*100</f>
        <v>0.68411940806930982</v>
      </c>
      <c r="G76" s="65">
        <f>+('table 1 &amp; 2'!B73/('table 1 &amp; 2'!B31*3))*100</f>
        <v>0.74201807501180728</v>
      </c>
    </row>
    <row r="77" spans="2:10" x14ac:dyDescent="0.2">
      <c r="B77" s="6" t="s">
        <v>53</v>
      </c>
      <c r="C77" s="186">
        <f>+('table 1 &amp; 2'!C74/('table 1 &amp; 2'!C32*3))*100</f>
        <v>0.81947006855351456</v>
      </c>
      <c r="D77" s="186">
        <f>+('table 1 &amp; 2'!D74/('table 1 &amp; 2'!D32*3))*100</f>
        <v>0.875334155267813</v>
      </c>
      <c r="E77" s="187">
        <f>+('table 1 &amp; 2'!F74/('table 1 &amp; 2'!F32*3))*100</f>
        <v>0.90423495720262681</v>
      </c>
      <c r="F77" s="186">
        <f>+('table 1 &amp; 2'!G74/('table 1 &amp; 2'!G32*3))*100</f>
        <v>0.90395721926671213</v>
      </c>
      <c r="G77" s="187">
        <f>+('table 1 &amp; 2'!B74/('table 1 &amp; 2'!B32*3))*100</f>
        <v>0.85697348605424362</v>
      </c>
    </row>
    <row r="78" spans="2:10" x14ac:dyDescent="0.2">
      <c r="B78" s="8" t="s">
        <v>54</v>
      </c>
      <c r="C78" s="66">
        <f>+('table 1 &amp; 2'!C75/('table 1 &amp; 2'!C33*3))*100</f>
        <v>0.75295298116109455</v>
      </c>
      <c r="D78" s="66">
        <f>+('table 1 &amp; 2'!D75/('table 1 &amp; 2'!D33*3))*100</f>
        <v>1.0047797006755148</v>
      </c>
      <c r="E78" s="65" t="s">
        <v>69</v>
      </c>
      <c r="F78" s="66" t="s">
        <v>69</v>
      </c>
      <c r="G78" s="65">
        <f>+('table 1 &amp; 2'!B75/('table 1 &amp; 2'!B33*3))*100</f>
        <v>0.83636141246237417</v>
      </c>
    </row>
    <row r="79" spans="2:10" x14ac:dyDescent="0.2">
      <c r="B79" s="6" t="s">
        <v>55</v>
      </c>
      <c r="C79" s="186">
        <f>+('table 1 &amp; 2'!C76/('table 1 &amp; 2'!C34*3))*100</f>
        <v>1.141853652558712</v>
      </c>
      <c r="D79" s="186">
        <f>+('table 1 &amp; 2'!D76/('table 1 &amp; 2'!D34*3))*100</f>
        <v>1.2428766878480306</v>
      </c>
      <c r="E79" s="187">
        <f>+('table 1 &amp; 2'!F76/('table 1 &amp; 2'!F34*3))*100</f>
        <v>0.90063333333333329</v>
      </c>
      <c r="F79" s="186">
        <f>+('table 1 &amp; 2'!G76/('table 1 &amp; 2'!G34*3))*100</f>
        <v>0.90063333333333329</v>
      </c>
      <c r="G79" s="187">
        <f>+('table 1 &amp; 2'!B76/('table 1 &amp; 2'!B34*3))*100</f>
        <v>1.1555258158183135</v>
      </c>
    </row>
    <row r="80" spans="2:10" x14ac:dyDescent="0.2">
      <c r="B80" s="8" t="s">
        <v>56</v>
      </c>
      <c r="C80" s="66">
        <f>+('table 1 &amp; 2'!C77/('table 1 &amp; 2'!C35*3))*100</f>
        <v>0.76666250557989024</v>
      </c>
      <c r="D80" s="66">
        <f>+('table 1 &amp; 2'!D77/('table 1 &amp; 2'!D35*3))*100</f>
        <v>1.0548901364360814</v>
      </c>
      <c r="E80" s="65" t="s">
        <v>69</v>
      </c>
      <c r="F80" s="66" t="s">
        <v>69</v>
      </c>
      <c r="G80" s="65">
        <f>+('table 1 &amp; 2'!B77/('table 1 &amp; 2'!B35*3))*100</f>
        <v>0.82092441745543066</v>
      </c>
    </row>
    <row r="81" spans="2:7" x14ac:dyDescent="0.2">
      <c r="B81" s="6" t="s">
        <v>57</v>
      </c>
      <c r="C81" s="186">
        <f>+('table 1 &amp; 2'!C78/('table 1 &amp; 2'!C36*3))*100</f>
        <v>0.80460766893876068</v>
      </c>
      <c r="D81" s="186">
        <f>+('table 1 &amp; 2'!D78/('table 1 &amp; 2'!D36*3))*100</f>
        <v>0.81072786326408186</v>
      </c>
      <c r="E81" s="187" t="s">
        <v>69</v>
      </c>
      <c r="F81" s="186" t="s">
        <v>69</v>
      </c>
      <c r="G81" s="187">
        <f>+('table 1 &amp; 2'!B78/('table 1 &amp; 2'!B36*3))*100</f>
        <v>0.80720705852530927</v>
      </c>
    </row>
    <row r="82" spans="2:7" x14ac:dyDescent="0.2">
      <c r="B82" s="8" t="s">
        <v>58</v>
      </c>
      <c r="C82" s="66">
        <f>+('table 1 &amp; 2'!C79/('table 1 &amp; 2'!C37*3))*100</f>
        <v>1.1132297868805234</v>
      </c>
      <c r="D82" s="66">
        <f>+('table 1 &amp; 2'!D79/('table 1 &amp; 2'!D37*3))*100</f>
        <v>1.131039761055332</v>
      </c>
      <c r="E82" s="65" t="s">
        <v>69</v>
      </c>
      <c r="F82" s="66" t="s">
        <v>69</v>
      </c>
      <c r="G82" s="65">
        <f>+('table 1 &amp; 2'!B79/('table 1 &amp; 2'!B37*3))*100</f>
        <v>1.1217264346607108</v>
      </c>
    </row>
    <row r="83" spans="2:7" x14ac:dyDescent="0.2">
      <c r="B83" s="6" t="s">
        <v>59</v>
      </c>
      <c r="C83" s="186">
        <f>+('table 1 &amp; 2'!C80/('table 1 &amp; 2'!C38*3))*100</f>
        <v>0.60100918933573333</v>
      </c>
      <c r="D83" s="186">
        <f>+('table 1 &amp; 2'!D80/('table 1 &amp; 2'!D38*3))*100</f>
        <v>0.87755341388624641</v>
      </c>
      <c r="E83" s="187" t="s">
        <v>69</v>
      </c>
      <c r="F83" s="186" t="s">
        <v>69</v>
      </c>
      <c r="G83" s="187">
        <f>+('table 1 &amp; 2'!B80/('table 1 &amp; 2'!B38*3))*100</f>
        <v>0.69861048315937035</v>
      </c>
    </row>
    <row r="84" spans="2:7" x14ac:dyDescent="0.2">
      <c r="B84" s="8" t="s">
        <v>60</v>
      </c>
      <c r="C84" s="66">
        <f>+('table 1 &amp; 2'!C81/('table 1 &amp; 2'!C39*3))*100</f>
        <v>0.79520072460875435</v>
      </c>
      <c r="D84" s="66">
        <f>+('table 1 &amp; 2'!D81/('table 1 &amp; 2'!D39*3))*100</f>
        <v>0.74897582899731552</v>
      </c>
      <c r="E84" s="65" t="s">
        <v>69</v>
      </c>
      <c r="F84" s="66" t="s">
        <v>69</v>
      </c>
      <c r="G84" s="65">
        <f>+('table 1 &amp; 2'!B81/('table 1 &amp; 2'!B39*3))*100</f>
        <v>0.76688031315493577</v>
      </c>
    </row>
    <row r="85" spans="2:7" x14ac:dyDescent="0.2">
      <c r="B85" s="6" t="s">
        <v>61</v>
      </c>
      <c r="C85" s="186">
        <f>+('table 1 &amp; 2'!C82/('table 1 &amp; 2'!C40*3))*100</f>
        <v>0.7681993730577652</v>
      </c>
      <c r="D85" s="186">
        <f>+('table 1 &amp; 2'!D82/('table 1 &amp; 2'!D40*3))*100</f>
        <v>0.7990354573805224</v>
      </c>
      <c r="E85" s="187">
        <f>+('table 1 &amp; 2'!F82/('table 1 &amp; 2'!F40*3))*100</f>
        <v>0.74036666666666673</v>
      </c>
      <c r="F85" s="186">
        <f>+('table 1 &amp; 2'!G82/('table 1 &amp; 2'!G40*3))*100</f>
        <v>0.74036666666666673</v>
      </c>
      <c r="G85" s="187">
        <f>+('table 1 &amp; 2'!B82/('table 1 &amp; 2'!B40*3))*100</f>
        <v>0.78871384502490849</v>
      </c>
    </row>
    <row r="86" spans="2:7" ht="12.75" customHeight="1" x14ac:dyDescent="0.2">
      <c r="B86" s="8" t="s">
        <v>62</v>
      </c>
      <c r="C86" s="66">
        <f>+('table 1 &amp; 2'!C83/('table 1 &amp; 2'!C41*3))*100</f>
        <v>1.0662273515713128</v>
      </c>
      <c r="D86" s="66">
        <f>+('table 1 &amp; 2'!D83/('table 1 &amp; 2'!D41*3))*100</f>
        <v>1.2123113793589486</v>
      </c>
      <c r="E86" s="65" t="s">
        <v>69</v>
      </c>
      <c r="F86" s="66" t="s">
        <v>69</v>
      </c>
      <c r="G86" s="65">
        <f>+('table 1 &amp; 2'!B83/('table 1 &amp; 2'!B41*3))*100</f>
        <v>1.1103459267570728</v>
      </c>
    </row>
    <row r="87" spans="2:7" ht="13.5" thickBot="1" x14ac:dyDescent="0.25">
      <c r="B87" s="23" t="s">
        <v>63</v>
      </c>
      <c r="C87" s="189">
        <f>+('table 1 &amp; 2'!C84/('table 1 &amp; 2'!C42*3))*100</f>
        <v>1.0456990018746088</v>
      </c>
      <c r="D87" s="189">
        <f>+('table 1 &amp; 2'!D84/('table 1 &amp; 2'!D42*3))*100</f>
        <v>1.0394667222668847</v>
      </c>
      <c r="E87" s="188">
        <f>+('table 1 &amp; 2'!F84/('table 1 &amp; 2'!F42*3))*100</f>
        <v>0.7668577921297044</v>
      </c>
      <c r="F87" s="189">
        <f>+('table 1 &amp; 2'!G84/('table 1 &amp; 2'!G42*3))*100</f>
        <v>0.76804215529813824</v>
      </c>
      <c r="G87" s="188">
        <f>+('table 1 &amp; 2'!B84/('table 1 &amp; 2'!B42*3))*100</f>
        <v>0.97123324644930076</v>
      </c>
    </row>
    <row r="88" spans="2:7" ht="12.75" customHeight="1" x14ac:dyDescent="0.2">
      <c r="B88" s="6" t="s">
        <v>427</v>
      </c>
    </row>
    <row r="89" spans="2:7" ht="16.149999999999999" customHeight="1" x14ac:dyDescent="0.2">
      <c r="B89" s="67" t="s">
        <v>479</v>
      </c>
    </row>
    <row r="90" spans="2:7" ht="15.6" customHeight="1" x14ac:dyDescent="0.2">
      <c r="B90" s="335" t="s">
        <v>480</v>
      </c>
    </row>
    <row r="93" spans="2:7" ht="18" x14ac:dyDescent="0.25">
      <c r="B93" s="601">
        <f>'Tables 3,4,&amp;5'!B94:J94+1</f>
        <v>11</v>
      </c>
      <c r="C93" s="601"/>
      <c r="D93" s="601"/>
      <c r="E93" s="601"/>
      <c r="F93" s="601"/>
      <c r="G93" s="601"/>
    </row>
  </sheetData>
  <mergeCells count="2">
    <mergeCell ref="B45:G45"/>
    <mergeCell ref="B93:G93"/>
  </mergeCells>
  <phoneticPr fontId="0" type="noConversion"/>
  <printOptions horizontalCentered="1"/>
  <pageMargins left="0.75" right="0.75" top="0.32" bottom="0.39" header="0.18" footer="0.17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L46"/>
  <sheetViews>
    <sheetView showGridLines="0" workbookViewId="0">
      <selection activeCell="L25" sqref="L25"/>
    </sheetView>
  </sheetViews>
  <sheetFormatPr defaultRowHeight="12.75" x14ac:dyDescent="0.2"/>
  <cols>
    <col min="2" max="2" width="11.28515625" customWidth="1"/>
    <col min="3" max="3" width="12.28515625" customWidth="1"/>
    <col min="4" max="4" width="13" customWidth="1"/>
    <col min="5" max="5" width="11.5703125" customWidth="1"/>
    <col min="6" max="6" width="10.7109375" customWidth="1"/>
    <col min="7" max="7" width="11.28515625" customWidth="1"/>
    <col min="8" max="8" width="4.140625" customWidth="1"/>
    <col min="9" max="9" width="8" customWidth="1"/>
    <col min="10" max="10" width="10" customWidth="1"/>
    <col min="11" max="15" width="9.140625" customWidth="1"/>
    <col min="16" max="16" width="13.28515625" customWidth="1"/>
    <col min="17" max="21" width="9.140625" customWidth="1"/>
    <col min="22" max="22" width="17.28515625" customWidth="1"/>
    <col min="23" max="30" width="9.140625" customWidth="1"/>
    <col min="31" max="31" width="6.85546875" customWidth="1"/>
    <col min="34" max="34" width="1" customWidth="1"/>
  </cols>
  <sheetData>
    <row r="1" spans="2:11" ht="15" x14ac:dyDescent="0.25">
      <c r="B1" s="83" t="s">
        <v>497</v>
      </c>
      <c r="D1" s="83" t="str">
        <f>'table 1 &amp; 2'!C2</f>
        <v>2022 Tax Year</v>
      </c>
    </row>
    <row r="3" spans="2:11" ht="14.1" customHeight="1" x14ac:dyDescent="0.25">
      <c r="B3" s="3" t="s">
        <v>73</v>
      </c>
    </row>
    <row r="4" spans="2:11" ht="14.1" customHeight="1" x14ac:dyDescent="0.25">
      <c r="B4" s="3" t="s">
        <v>370</v>
      </c>
    </row>
    <row r="5" spans="2:11" ht="14.1" customHeight="1" x14ac:dyDescent="0.25">
      <c r="B5" s="3" t="s">
        <v>516</v>
      </c>
      <c r="E5" s="3" t="str">
        <f>D1</f>
        <v>2022 Tax Year</v>
      </c>
    </row>
    <row r="6" spans="2:11" x14ac:dyDescent="0.2">
      <c r="E6" s="46" t="s">
        <v>4</v>
      </c>
      <c r="F6" s="129" t="s">
        <v>361</v>
      </c>
    </row>
    <row r="7" spans="2:11" x14ac:dyDescent="0.2">
      <c r="E7" s="120" t="s">
        <v>30</v>
      </c>
      <c r="F7" s="129" t="s">
        <v>360</v>
      </c>
      <c r="G7" s="46" t="s">
        <v>327</v>
      </c>
      <c r="H7" s="46"/>
    </row>
    <row r="8" spans="2:11" ht="14.25" x14ac:dyDescent="0.2">
      <c r="B8" s="117" t="s">
        <v>27</v>
      </c>
      <c r="C8" s="125" t="s">
        <v>359</v>
      </c>
      <c r="D8" s="124" t="s">
        <v>28</v>
      </c>
      <c r="E8" s="124" t="s">
        <v>369</v>
      </c>
      <c r="F8" s="190" t="s">
        <v>393</v>
      </c>
      <c r="G8" s="124" t="s">
        <v>329</v>
      </c>
      <c r="H8" s="46"/>
    </row>
    <row r="9" spans="2:11" x14ac:dyDescent="0.2">
      <c r="B9" s="52" t="s">
        <v>31</v>
      </c>
      <c r="C9" s="96">
        <v>7.0110000000000001</v>
      </c>
      <c r="D9" s="96">
        <v>10.75</v>
      </c>
      <c r="E9" s="96" t="s">
        <v>69</v>
      </c>
      <c r="F9" s="134">
        <v>10.75</v>
      </c>
      <c r="G9" s="126">
        <v>1.1000000000000001</v>
      </c>
      <c r="H9" s="136"/>
    </row>
    <row r="10" spans="2:11" x14ac:dyDescent="0.2">
      <c r="B10" s="7" t="s">
        <v>32</v>
      </c>
      <c r="C10" s="137">
        <v>11.303000000000001</v>
      </c>
      <c r="D10" s="137">
        <v>11.85</v>
      </c>
      <c r="E10" s="137" t="s">
        <v>69</v>
      </c>
      <c r="F10" s="138">
        <v>11.85</v>
      </c>
      <c r="G10" s="139">
        <v>0</v>
      </c>
      <c r="H10" s="144"/>
      <c r="I10" s="563">
        <v>11.85</v>
      </c>
      <c r="K10" t="s">
        <v>363</v>
      </c>
    </row>
    <row r="11" spans="2:11" x14ac:dyDescent="0.2">
      <c r="B11" s="52" t="s">
        <v>33</v>
      </c>
      <c r="C11" s="96">
        <v>5.4</v>
      </c>
      <c r="D11" s="96">
        <v>10.35</v>
      </c>
      <c r="E11" s="96">
        <v>10.35</v>
      </c>
      <c r="F11" s="134">
        <v>10.35</v>
      </c>
      <c r="G11" s="126">
        <v>1.5</v>
      </c>
      <c r="H11" s="136"/>
      <c r="I11" s="558">
        <f>+I10*33</f>
        <v>391.05</v>
      </c>
      <c r="J11" t="s">
        <v>544</v>
      </c>
      <c r="K11" t="s">
        <v>362</v>
      </c>
    </row>
    <row r="12" spans="2:11" x14ac:dyDescent="0.2">
      <c r="B12" s="7" t="s">
        <v>34</v>
      </c>
      <c r="C12" s="137">
        <v>8.9429999999999996</v>
      </c>
      <c r="D12" s="137">
        <v>11.85</v>
      </c>
      <c r="E12" s="137" t="s">
        <v>69</v>
      </c>
      <c r="F12" s="138">
        <v>11.85</v>
      </c>
      <c r="G12" s="139">
        <v>0</v>
      </c>
      <c r="H12" s="144"/>
    </row>
    <row r="13" spans="2:11" x14ac:dyDescent="0.2">
      <c r="B13" s="140" t="s">
        <v>35</v>
      </c>
      <c r="C13" s="141">
        <v>9.6110000000000007</v>
      </c>
      <c r="D13" s="141">
        <v>11.85</v>
      </c>
      <c r="E13" s="141">
        <v>11.85</v>
      </c>
      <c r="F13" s="142">
        <v>11.85</v>
      </c>
      <c r="G13" s="143">
        <v>0</v>
      </c>
      <c r="H13" s="144"/>
      <c r="I13" s="559">
        <f>SUM(F9:F41)</f>
        <v>369.05000000000007</v>
      </c>
      <c r="J13" s="486" t="s">
        <v>545</v>
      </c>
      <c r="K13" t="s">
        <v>364</v>
      </c>
    </row>
    <row r="14" spans="2:11" x14ac:dyDescent="0.2">
      <c r="B14" t="s">
        <v>36</v>
      </c>
      <c r="C14" s="95">
        <v>9.85</v>
      </c>
      <c r="D14" s="95">
        <v>9.85</v>
      </c>
      <c r="E14" s="95" t="s">
        <v>69</v>
      </c>
      <c r="F14" s="135">
        <v>9.85</v>
      </c>
      <c r="G14" s="136">
        <v>2</v>
      </c>
      <c r="H14" s="144"/>
    </row>
    <row r="15" spans="2:11" x14ac:dyDescent="0.2">
      <c r="B15" s="140" t="s">
        <v>67</v>
      </c>
      <c r="C15" s="141">
        <v>10.129</v>
      </c>
      <c r="D15" s="141">
        <v>9.5329999999999995</v>
      </c>
      <c r="E15" s="141" t="s">
        <v>69</v>
      </c>
      <c r="F15" s="142">
        <v>11.85</v>
      </c>
      <c r="G15" s="143">
        <v>0</v>
      </c>
      <c r="H15" s="144"/>
      <c r="I15" s="335"/>
    </row>
    <row r="16" spans="2:11" x14ac:dyDescent="0.2">
      <c r="B16" s="7" t="s">
        <v>37</v>
      </c>
      <c r="C16" s="137">
        <v>9.1720000000000006</v>
      </c>
      <c r="D16" s="137">
        <v>11.85</v>
      </c>
      <c r="E16" s="137" t="s">
        <v>69</v>
      </c>
      <c r="F16" s="138">
        <v>11.85</v>
      </c>
      <c r="G16" s="139">
        <v>0</v>
      </c>
      <c r="H16" s="144"/>
      <c r="I16" s="560">
        <f>+I13/I11</f>
        <v>0.94374120956399454</v>
      </c>
      <c r="J16" s="127" t="s">
        <v>546</v>
      </c>
      <c r="K16" t="s">
        <v>365</v>
      </c>
    </row>
    <row r="17" spans="2:12" x14ac:dyDescent="0.2">
      <c r="B17" s="52" t="s">
        <v>38</v>
      </c>
      <c r="C17" s="96">
        <v>5.3959999999999999</v>
      </c>
      <c r="D17" s="96">
        <v>7.5</v>
      </c>
      <c r="E17" s="96">
        <v>7.5</v>
      </c>
      <c r="F17" s="134">
        <v>7.5</v>
      </c>
      <c r="G17" s="126">
        <v>4.3499999999999996</v>
      </c>
      <c r="H17" s="144"/>
    </row>
    <row r="18" spans="2:12" x14ac:dyDescent="0.2">
      <c r="B18" s="7" t="s">
        <v>39</v>
      </c>
      <c r="C18" s="137">
        <v>6.65</v>
      </c>
      <c r="D18" s="137">
        <v>11.85</v>
      </c>
      <c r="E18" s="137" t="s">
        <v>69</v>
      </c>
      <c r="F18" s="138">
        <v>11.85</v>
      </c>
      <c r="G18" s="139">
        <v>0</v>
      </c>
      <c r="H18" s="144"/>
      <c r="I18">
        <f>COUNTIF(G9:G41,0)</f>
        <v>22</v>
      </c>
      <c r="J18" s="335" t="s">
        <v>494</v>
      </c>
      <c r="K18" s="561">
        <f>I18/33</f>
        <v>0.66666666666666663</v>
      </c>
      <c r="L18" s="335" t="s">
        <v>495</v>
      </c>
    </row>
    <row r="19" spans="2:12" x14ac:dyDescent="0.2">
      <c r="B19" s="140" t="s">
        <v>40</v>
      </c>
      <c r="C19" s="141">
        <v>9.282</v>
      </c>
      <c r="D19" s="141">
        <v>11.85</v>
      </c>
      <c r="E19" s="141" t="s">
        <v>69</v>
      </c>
      <c r="F19" s="142">
        <v>11.85</v>
      </c>
      <c r="G19" s="143">
        <v>0</v>
      </c>
      <c r="H19" s="144"/>
    </row>
    <row r="20" spans="2:12" x14ac:dyDescent="0.2">
      <c r="B20" t="s">
        <v>41</v>
      </c>
      <c r="C20" s="95">
        <v>8.6129999999999995</v>
      </c>
      <c r="D20" s="95">
        <v>10.615</v>
      </c>
      <c r="E20" s="95">
        <v>10.85</v>
      </c>
      <c r="F20" s="135">
        <v>10.85</v>
      </c>
      <c r="G20" s="136">
        <v>1</v>
      </c>
      <c r="H20" s="144"/>
      <c r="L20" s="335"/>
    </row>
    <row r="21" spans="2:12" x14ac:dyDescent="0.2">
      <c r="B21" s="140" t="s">
        <v>42</v>
      </c>
      <c r="C21" s="141">
        <v>9.8330000000000002</v>
      </c>
      <c r="D21" s="141">
        <v>11.85</v>
      </c>
      <c r="E21" s="141" t="s">
        <v>69</v>
      </c>
      <c r="F21" s="142">
        <v>11.85</v>
      </c>
      <c r="G21" s="143">
        <v>0</v>
      </c>
      <c r="H21" s="144"/>
    </row>
    <row r="22" spans="2:12" x14ac:dyDescent="0.2">
      <c r="B22" t="s">
        <v>43</v>
      </c>
      <c r="C22" s="95">
        <v>7.0549999999999997</v>
      </c>
      <c r="D22" s="95">
        <v>10.6</v>
      </c>
      <c r="E22" s="95">
        <v>10.6</v>
      </c>
      <c r="F22" s="135">
        <v>10.6</v>
      </c>
      <c r="G22" s="136">
        <v>1.25</v>
      </c>
      <c r="H22" s="144"/>
    </row>
    <row r="23" spans="2:12" x14ac:dyDescent="0.2">
      <c r="B23" s="52" t="s">
        <v>44</v>
      </c>
      <c r="C23" s="96">
        <v>8.0640000000000001</v>
      </c>
      <c r="D23" s="96">
        <v>11.433</v>
      </c>
      <c r="E23" s="96" t="s">
        <v>69</v>
      </c>
      <c r="F23" s="134">
        <v>11.6</v>
      </c>
      <c r="G23" s="126">
        <v>0.25</v>
      </c>
      <c r="H23" s="144"/>
    </row>
    <row r="24" spans="2:12" x14ac:dyDescent="0.2">
      <c r="B24" t="s">
        <v>45</v>
      </c>
      <c r="C24" s="95">
        <v>5.3079999999999998</v>
      </c>
      <c r="D24" s="95">
        <v>8.85</v>
      </c>
      <c r="E24" s="95" t="s">
        <v>69</v>
      </c>
      <c r="F24" s="135">
        <v>8.85</v>
      </c>
      <c r="G24" s="136">
        <v>3</v>
      </c>
      <c r="H24" s="144"/>
      <c r="I24" s="562">
        <f>SUMIF(G9:G41,"&gt;0")/COUNTIF(G9:G41,"&gt;0")</f>
        <v>2</v>
      </c>
    </row>
    <row r="25" spans="2:12" x14ac:dyDescent="0.2">
      <c r="B25" s="140" t="s">
        <v>46</v>
      </c>
      <c r="C25" s="141">
        <v>10.497</v>
      </c>
      <c r="D25" s="141">
        <v>11.85</v>
      </c>
      <c r="E25" s="141" t="s">
        <v>69</v>
      </c>
      <c r="F25" s="142">
        <v>11.85</v>
      </c>
      <c r="G25" s="143">
        <v>0</v>
      </c>
      <c r="H25" s="144"/>
      <c r="I25" s="335" t="s">
        <v>496</v>
      </c>
    </row>
    <row r="26" spans="2:12" x14ac:dyDescent="0.2">
      <c r="B26" s="7" t="s">
        <v>47</v>
      </c>
      <c r="C26" s="137">
        <v>6.9420000000000002</v>
      </c>
      <c r="D26" s="137">
        <v>11.85</v>
      </c>
      <c r="E26" s="137">
        <v>11.85</v>
      </c>
      <c r="F26" s="138">
        <v>11.85</v>
      </c>
      <c r="G26" s="139">
        <v>0</v>
      </c>
      <c r="H26" s="144"/>
    </row>
    <row r="27" spans="2:12" x14ac:dyDescent="0.2">
      <c r="B27" s="140" t="s">
        <v>48</v>
      </c>
      <c r="C27" s="141">
        <v>7.4450000000000003</v>
      </c>
      <c r="D27" s="141">
        <v>11.85</v>
      </c>
      <c r="E27" s="141" t="s">
        <v>69</v>
      </c>
      <c r="F27" s="142">
        <v>11.85</v>
      </c>
      <c r="G27" s="143">
        <v>0</v>
      </c>
      <c r="H27" s="144"/>
    </row>
    <row r="28" spans="2:12" x14ac:dyDescent="0.2">
      <c r="B28" s="7" t="s">
        <v>49</v>
      </c>
      <c r="C28" s="137">
        <v>6.8869999999999996</v>
      </c>
      <c r="D28" s="137">
        <v>11.85</v>
      </c>
      <c r="E28" s="137" t="s">
        <v>69</v>
      </c>
      <c r="F28" s="138">
        <v>11.85</v>
      </c>
      <c r="G28" s="139">
        <v>0</v>
      </c>
      <c r="H28" s="144"/>
    </row>
    <row r="29" spans="2:12" x14ac:dyDescent="0.2">
      <c r="B29" s="140" t="s">
        <v>50</v>
      </c>
      <c r="C29" s="141">
        <v>11.85</v>
      </c>
      <c r="D29" s="141">
        <v>11.85</v>
      </c>
      <c r="E29" s="141">
        <v>11.85</v>
      </c>
      <c r="F29" s="142">
        <v>11.85</v>
      </c>
      <c r="G29" s="143">
        <v>0</v>
      </c>
      <c r="H29" s="144"/>
    </row>
    <row r="30" spans="2:12" x14ac:dyDescent="0.2">
      <c r="B30" s="7" t="s">
        <v>51</v>
      </c>
      <c r="C30" s="137">
        <v>5.2949999999999999</v>
      </c>
      <c r="D30" s="137">
        <v>11.634</v>
      </c>
      <c r="E30" s="137">
        <v>11.85</v>
      </c>
      <c r="F30" s="138">
        <v>11.85</v>
      </c>
      <c r="G30" s="139">
        <v>0</v>
      </c>
      <c r="H30" s="144"/>
    </row>
    <row r="31" spans="2:12" x14ac:dyDescent="0.2">
      <c r="B31" s="140" t="s">
        <v>52</v>
      </c>
      <c r="C31" s="141">
        <v>10.571999999999999</v>
      </c>
      <c r="D31" s="141">
        <v>11.85</v>
      </c>
      <c r="E31" s="141">
        <v>11.85</v>
      </c>
      <c r="F31" s="142">
        <v>11.85</v>
      </c>
      <c r="G31" s="143">
        <v>0</v>
      </c>
      <c r="H31" s="144"/>
    </row>
    <row r="32" spans="2:12" x14ac:dyDescent="0.2">
      <c r="B32" t="s">
        <v>53</v>
      </c>
      <c r="C32" s="95">
        <v>7.141</v>
      </c>
      <c r="D32" s="95">
        <v>8.5</v>
      </c>
      <c r="E32" s="95">
        <v>8.5</v>
      </c>
      <c r="F32" s="135">
        <v>8.5</v>
      </c>
      <c r="G32" s="136">
        <v>3.35</v>
      </c>
      <c r="H32" s="144"/>
    </row>
    <row r="33" spans="2:8" x14ac:dyDescent="0.2">
      <c r="B33" s="140" t="s">
        <v>54</v>
      </c>
      <c r="C33" s="141">
        <v>5.5380000000000003</v>
      </c>
      <c r="D33" s="141">
        <v>11.85</v>
      </c>
      <c r="E33" s="141" t="s">
        <v>69</v>
      </c>
      <c r="F33" s="142">
        <v>11.85</v>
      </c>
      <c r="G33" s="143">
        <v>0</v>
      </c>
      <c r="H33" s="144"/>
    </row>
    <row r="34" spans="2:8" x14ac:dyDescent="0.2">
      <c r="B34" t="s">
        <v>55</v>
      </c>
      <c r="C34" s="95">
        <v>6.17</v>
      </c>
      <c r="D34" s="95">
        <v>10.35</v>
      </c>
      <c r="E34" s="95">
        <v>10.35</v>
      </c>
      <c r="F34" s="135">
        <v>10.35</v>
      </c>
      <c r="G34" s="136">
        <v>1.5</v>
      </c>
      <c r="H34" s="144"/>
    </row>
    <row r="35" spans="2:8" x14ac:dyDescent="0.2">
      <c r="B35" s="140" t="s">
        <v>56</v>
      </c>
      <c r="C35" s="141">
        <v>5.484</v>
      </c>
      <c r="D35" s="141">
        <v>11.791</v>
      </c>
      <c r="E35" s="141" t="s">
        <v>69</v>
      </c>
      <c r="F35" s="142">
        <v>11.85</v>
      </c>
      <c r="G35" s="143">
        <v>0</v>
      </c>
      <c r="H35" s="144"/>
    </row>
    <row r="36" spans="2:8" x14ac:dyDescent="0.2">
      <c r="B36" s="7" t="s">
        <v>57</v>
      </c>
      <c r="C36" s="137">
        <v>10.677</v>
      </c>
      <c r="D36" s="137">
        <v>11.85</v>
      </c>
      <c r="E36" s="137" t="s">
        <v>69</v>
      </c>
      <c r="F36" s="138">
        <v>11.85</v>
      </c>
      <c r="G36" s="139">
        <v>0</v>
      </c>
      <c r="H36" s="144"/>
    </row>
    <row r="37" spans="2:8" x14ac:dyDescent="0.2">
      <c r="B37" s="140" t="s">
        <v>58</v>
      </c>
      <c r="C37" s="141">
        <v>9.8780000000000001</v>
      </c>
      <c r="D37" s="141">
        <v>11.85</v>
      </c>
      <c r="E37" s="141" t="s">
        <v>69</v>
      </c>
      <c r="F37" s="142">
        <v>11.85</v>
      </c>
      <c r="G37" s="143">
        <v>0</v>
      </c>
      <c r="H37" s="144"/>
    </row>
    <row r="38" spans="2:8" x14ac:dyDescent="0.2">
      <c r="B38" s="7" t="s">
        <v>59</v>
      </c>
      <c r="C38" s="137">
        <v>6.2</v>
      </c>
      <c r="D38" s="137">
        <v>11.85</v>
      </c>
      <c r="E38" s="137" t="s">
        <v>69</v>
      </c>
      <c r="F38" s="138">
        <v>11.85</v>
      </c>
      <c r="G38" s="139">
        <v>0</v>
      </c>
      <c r="H38" s="144"/>
    </row>
    <row r="39" spans="2:8" x14ac:dyDescent="0.2">
      <c r="B39" s="140" t="s">
        <v>60</v>
      </c>
      <c r="C39" s="141">
        <v>11.85</v>
      </c>
      <c r="D39" s="141">
        <v>11.85</v>
      </c>
      <c r="E39" s="141" t="s">
        <v>69</v>
      </c>
      <c r="F39" s="142">
        <v>11.85</v>
      </c>
      <c r="G39" s="143">
        <v>0</v>
      </c>
      <c r="H39" s="144"/>
    </row>
    <row r="40" spans="2:8" x14ac:dyDescent="0.2">
      <c r="B40" t="s">
        <v>61</v>
      </c>
      <c r="C40" s="95">
        <v>7.0529999999999999</v>
      </c>
      <c r="D40" s="95">
        <v>9.15</v>
      </c>
      <c r="E40" s="95">
        <v>9.15</v>
      </c>
      <c r="F40" s="135">
        <v>9.15</v>
      </c>
      <c r="G40" s="136">
        <v>2.7</v>
      </c>
      <c r="H40" s="144"/>
    </row>
    <row r="41" spans="2:8" ht="13.5" thickBot="1" x14ac:dyDescent="0.25">
      <c r="B41" s="192" t="s">
        <v>62</v>
      </c>
      <c r="C41" s="193">
        <v>7.02</v>
      </c>
      <c r="D41" s="193">
        <v>11.85</v>
      </c>
      <c r="E41" s="193" t="s">
        <v>69</v>
      </c>
      <c r="F41" s="194">
        <v>11.85</v>
      </c>
      <c r="G41" s="195">
        <v>0</v>
      </c>
      <c r="H41" s="144"/>
    </row>
    <row r="42" spans="2:8" ht="14.25" x14ac:dyDescent="0.2">
      <c r="B42" s="67" t="s">
        <v>366</v>
      </c>
      <c r="C42" s="123"/>
      <c r="D42" s="123"/>
      <c r="E42" s="123"/>
      <c r="F42" s="123"/>
      <c r="G42" s="123"/>
      <c r="H42" s="123"/>
    </row>
    <row r="43" spans="2:8" x14ac:dyDescent="0.2">
      <c r="B43" t="s">
        <v>358</v>
      </c>
      <c r="F43" s="123"/>
    </row>
    <row r="45" spans="2:8" x14ac:dyDescent="0.2">
      <c r="C45" s="72"/>
      <c r="D45" s="72"/>
      <c r="E45" s="72"/>
      <c r="F45" s="72"/>
      <c r="G45" s="72"/>
    </row>
    <row r="46" spans="2:8" x14ac:dyDescent="0.2">
      <c r="B46" s="602">
        <f>'Tables 6 &amp; 7'!B93:G93+1</f>
        <v>12</v>
      </c>
      <c r="C46" s="602"/>
      <c r="D46" s="602"/>
      <c r="E46" s="602"/>
      <c r="F46" s="602"/>
      <c r="G46" s="602"/>
    </row>
  </sheetData>
  <mergeCells count="1">
    <mergeCell ref="B46:G46"/>
  </mergeCells>
  <phoneticPr fontId="38" type="noConversion"/>
  <printOptions horizontalCentered="1"/>
  <pageMargins left="0.5" right="0.5" top="0.7" bottom="0.32" header="0" footer="0.18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B1:BO79"/>
  <sheetViews>
    <sheetView showGridLines="0" showZeros="0" topLeftCell="A38" zoomScaleNormal="100" zoomScaleSheetLayoutView="90" workbookViewId="0">
      <selection activeCell="K49" sqref="K49"/>
    </sheetView>
  </sheetViews>
  <sheetFormatPr defaultRowHeight="12.75" x14ac:dyDescent="0.2"/>
  <cols>
    <col min="2" max="2" width="13.85546875" bestFit="1" customWidth="1"/>
    <col min="3" max="3" width="10.28515625" customWidth="1"/>
    <col min="4" max="4" width="10" customWidth="1"/>
    <col min="5" max="5" width="10.140625" customWidth="1"/>
    <col min="6" max="6" width="9.42578125" customWidth="1"/>
    <col min="7" max="7" width="7.85546875" customWidth="1"/>
    <col min="8" max="8" width="10.140625" customWidth="1"/>
    <col min="9" max="9" width="10.28515625" customWidth="1"/>
    <col min="10" max="10" width="8.85546875" customWidth="1"/>
    <col min="12" max="12" width="11.7109375" customWidth="1"/>
    <col min="13" max="13" width="11.42578125" customWidth="1"/>
    <col min="15" max="15" width="10" customWidth="1"/>
    <col min="16" max="16" width="11.140625" customWidth="1"/>
    <col min="17" max="17" width="13.5703125" customWidth="1"/>
    <col min="19" max="19" width="11.140625" customWidth="1"/>
    <col min="45" max="45" width="0" hidden="1" customWidth="1"/>
    <col min="46" max="46" width="12.7109375" hidden="1" customWidth="1"/>
    <col min="47" max="47" width="0" hidden="1" customWidth="1"/>
    <col min="48" max="48" width="12.85546875" hidden="1" customWidth="1"/>
    <col min="49" max="49" width="10.28515625" hidden="1" customWidth="1"/>
    <col min="50" max="62" width="0" hidden="1" customWidth="1"/>
    <col min="63" max="63" width="1.42578125" hidden="1" customWidth="1"/>
    <col min="64" max="64" width="4.28515625" hidden="1" customWidth="1"/>
    <col min="65" max="74" width="0" hidden="1" customWidth="1"/>
  </cols>
  <sheetData>
    <row r="1" spans="2:67" ht="15.75" x14ac:dyDescent="0.25">
      <c r="B1" s="1" t="s">
        <v>443</v>
      </c>
      <c r="C1" s="6"/>
      <c r="D1" s="6"/>
      <c r="E1" s="6"/>
      <c r="F1" s="6"/>
      <c r="G1" s="6"/>
      <c r="H1" s="6"/>
      <c r="I1" s="6"/>
      <c r="J1" s="6"/>
    </row>
    <row r="2" spans="2:67" ht="15.75" x14ac:dyDescent="0.25">
      <c r="B2" s="3" t="s">
        <v>497</v>
      </c>
      <c r="C2" s="6"/>
      <c r="D2" s="3" t="str">
        <f>'table 1 &amp; 2'!C2</f>
        <v>2022 Tax Year</v>
      </c>
      <c r="E2" s="6"/>
      <c r="F2" s="6"/>
      <c r="G2" s="6"/>
      <c r="H2" s="6"/>
      <c r="I2" s="6"/>
      <c r="J2" s="6"/>
    </row>
    <row r="3" spans="2:67" x14ac:dyDescent="0.2">
      <c r="B3" s="191"/>
      <c r="C3" s="6"/>
      <c r="D3" s="6"/>
      <c r="E3" s="6"/>
      <c r="F3" s="6"/>
      <c r="G3" s="6"/>
      <c r="H3" s="6"/>
      <c r="I3" s="6"/>
      <c r="J3" s="6"/>
      <c r="AT3" t="s">
        <v>394</v>
      </c>
    </row>
    <row r="4" spans="2:67" ht="17.25" customHeight="1" x14ac:dyDescent="0.25">
      <c r="B4" s="3" t="s">
        <v>451</v>
      </c>
      <c r="C4" s="6"/>
      <c r="D4" s="6"/>
      <c r="E4" s="6"/>
      <c r="F4" s="6"/>
      <c r="G4" s="6"/>
      <c r="H4" s="6"/>
      <c r="I4" s="6"/>
      <c r="J4" s="6"/>
      <c r="L4" s="583" t="s">
        <v>566</v>
      </c>
      <c r="M4" s="438"/>
      <c r="N4" s="438"/>
      <c r="O4" s="438"/>
      <c r="P4" s="438"/>
      <c r="Q4" s="438"/>
      <c r="R4" s="438"/>
      <c r="S4" s="438"/>
      <c r="T4" s="438"/>
      <c r="U4" s="438"/>
      <c r="V4" s="438"/>
      <c r="AT4" s="7"/>
      <c r="BD4" s="3" t="s">
        <v>318</v>
      </c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2:67" ht="15.75" x14ac:dyDescent="0.25">
      <c r="B5" s="3" t="s">
        <v>498</v>
      </c>
      <c r="C5" s="6"/>
      <c r="D5" s="6"/>
      <c r="E5" s="6"/>
      <c r="F5" s="6"/>
      <c r="G5" s="6"/>
      <c r="H5" s="6"/>
      <c r="I5" s="3" t="str">
        <f>D2</f>
        <v>2022 Tax Year</v>
      </c>
      <c r="J5" s="6"/>
      <c r="L5" s="584" t="s">
        <v>567</v>
      </c>
      <c r="M5" s="584"/>
      <c r="N5" s="584"/>
      <c r="O5" s="584"/>
      <c r="P5" s="584"/>
      <c r="Q5" s="584"/>
      <c r="R5" s="584"/>
      <c r="S5" s="584"/>
      <c r="T5" s="584"/>
      <c r="U5" s="584"/>
      <c r="V5" s="584"/>
      <c r="AT5" s="7" t="s">
        <v>395</v>
      </c>
      <c r="BD5" s="3" t="s">
        <v>70</v>
      </c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2:67" ht="8.25" customHeight="1" x14ac:dyDescent="0.2">
      <c r="B6" s="6"/>
      <c r="C6" s="6"/>
      <c r="D6" s="6"/>
      <c r="E6" s="6"/>
      <c r="F6" s="6"/>
      <c r="G6" s="6"/>
      <c r="H6" s="6"/>
      <c r="I6" s="6"/>
      <c r="J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2:67" ht="19.5" customHeight="1" x14ac:dyDescent="0.2">
      <c r="B7" s="6"/>
      <c r="C7" s="21" t="s">
        <v>64</v>
      </c>
      <c r="D7" s="207" t="s">
        <v>342</v>
      </c>
      <c r="E7" s="173"/>
      <c r="F7" s="173"/>
      <c r="G7" s="173"/>
      <c r="H7" s="173"/>
      <c r="I7" s="173"/>
      <c r="J7" s="173"/>
      <c r="M7" s="21"/>
      <c r="N7" s="403" t="s">
        <v>342</v>
      </c>
      <c r="O7" s="404"/>
      <c r="P7" s="404"/>
      <c r="Q7" s="404"/>
      <c r="AU7" s="46" t="s">
        <v>64</v>
      </c>
      <c r="AV7" s="208" t="s">
        <v>396</v>
      </c>
      <c r="BD7" s="6"/>
      <c r="BE7" s="21" t="s">
        <v>64</v>
      </c>
      <c r="BF7" s="172" t="s">
        <v>342</v>
      </c>
      <c r="BG7" s="173"/>
      <c r="BH7" s="173"/>
      <c r="BI7" s="173"/>
      <c r="BJ7" s="173"/>
      <c r="BK7" s="173"/>
      <c r="BL7" s="173"/>
      <c r="BM7" s="173"/>
      <c r="BN7" s="173"/>
      <c r="BO7" s="173"/>
    </row>
    <row r="8" spans="2:67" ht="14.25" x14ac:dyDescent="0.2">
      <c r="B8" s="6"/>
      <c r="C8" s="21" t="s">
        <v>65</v>
      </c>
      <c r="D8" s="22"/>
      <c r="E8" s="211"/>
      <c r="F8" s="21" t="s">
        <v>5</v>
      </c>
      <c r="G8" s="21"/>
      <c r="H8" s="214" t="s">
        <v>404</v>
      </c>
      <c r="I8" s="61"/>
      <c r="J8" s="21"/>
      <c r="M8" s="21"/>
      <c r="N8" s="405"/>
      <c r="O8" s="335" t="s">
        <v>334</v>
      </c>
      <c r="AU8" s="46" t="s">
        <v>65</v>
      </c>
      <c r="AV8" s="196"/>
      <c r="AW8" s="46"/>
      <c r="AX8" s="46" t="s">
        <v>5</v>
      </c>
      <c r="AY8" s="46"/>
      <c r="AZ8" s="46" t="s">
        <v>4</v>
      </c>
      <c r="BA8" s="46"/>
      <c r="BB8" s="46"/>
      <c r="BD8" s="6"/>
      <c r="BE8" s="21" t="s">
        <v>65</v>
      </c>
      <c r="BF8" s="22"/>
      <c r="BG8" s="22"/>
      <c r="BH8" s="21" t="s">
        <v>5</v>
      </c>
      <c r="BI8" s="21"/>
      <c r="BJ8" s="44" t="s">
        <v>339</v>
      </c>
      <c r="BK8" s="61"/>
      <c r="BL8" s="21"/>
      <c r="BM8" s="21"/>
      <c r="BN8" s="21"/>
    </row>
    <row r="9" spans="2:67" ht="15" thickBot="1" x14ac:dyDescent="0.25">
      <c r="B9" s="23" t="s">
        <v>27</v>
      </c>
      <c r="C9" s="519" t="s">
        <v>563</v>
      </c>
      <c r="D9" s="32" t="s">
        <v>8</v>
      </c>
      <c r="E9" s="29" t="s">
        <v>9</v>
      </c>
      <c r="F9" s="28" t="s">
        <v>66</v>
      </c>
      <c r="G9" s="24" t="s">
        <v>29</v>
      </c>
      <c r="H9" s="25" t="s">
        <v>30</v>
      </c>
      <c r="I9" s="24" t="s">
        <v>10</v>
      </c>
      <c r="J9" s="68" t="s">
        <v>29</v>
      </c>
      <c r="L9" s="394" t="s">
        <v>27</v>
      </c>
      <c r="M9" s="340" t="s">
        <v>416</v>
      </c>
      <c r="N9" s="341" t="s">
        <v>467</v>
      </c>
      <c r="O9" s="341" t="s">
        <v>468</v>
      </c>
      <c r="AT9" s="117" t="s">
        <v>27</v>
      </c>
      <c r="AU9" s="197" t="s">
        <v>401</v>
      </c>
      <c r="AV9" s="198" t="s">
        <v>8</v>
      </c>
      <c r="AW9" s="125" t="s">
        <v>9</v>
      </c>
      <c r="AX9" s="125" t="s">
        <v>66</v>
      </c>
      <c r="AY9" s="124" t="s">
        <v>29</v>
      </c>
      <c r="AZ9" s="124" t="s">
        <v>30</v>
      </c>
      <c r="BA9" s="124" t="s">
        <v>10</v>
      </c>
      <c r="BB9" s="124" t="s">
        <v>29</v>
      </c>
      <c r="BD9" s="23" t="s">
        <v>27</v>
      </c>
      <c r="BE9" s="31" t="s">
        <v>71</v>
      </c>
      <c r="BF9" s="32" t="s">
        <v>8</v>
      </c>
      <c r="BG9" s="29" t="s">
        <v>9</v>
      </c>
      <c r="BH9" s="28" t="s">
        <v>66</v>
      </c>
      <c r="BI9" s="24" t="s">
        <v>29</v>
      </c>
      <c r="BJ9" s="25" t="s">
        <v>30</v>
      </c>
      <c r="BK9" s="24"/>
      <c r="BL9" s="24" t="s">
        <v>10</v>
      </c>
      <c r="BM9" s="24"/>
      <c r="BN9" s="24" t="s">
        <v>29</v>
      </c>
      <c r="BO9" s="24"/>
    </row>
    <row r="10" spans="2:67" x14ac:dyDescent="0.2">
      <c r="B10" s="52" t="s">
        <v>31</v>
      </c>
      <c r="C10" s="520">
        <v>676438</v>
      </c>
      <c r="D10" s="215">
        <f>'table 1 &amp; 2'!B51/'Tables 9 &amp; 10'!$C$10</f>
        <v>1199.0840641748453</v>
      </c>
      <c r="E10" s="91">
        <f>'table 1 &amp; 2'!C51/'Tables 9 &amp; 10'!$C$10</f>
        <v>922.93620558622968</v>
      </c>
      <c r="F10" s="81">
        <f>'table 1 &amp; 2'!D51/'Tables 9 &amp; 10'!$C$10</f>
        <v>276.14785858861563</v>
      </c>
      <c r="G10" s="81">
        <f>'table 1 &amp; 2'!E51/'Tables 9 &amp; 10'!$C$10</f>
        <v>1199.0840641748453</v>
      </c>
      <c r="H10" s="91">
        <f>'table 1 &amp; 2'!F51/'Tables 9 &amp; 10'!$C$10</f>
        <v>0</v>
      </c>
      <c r="I10" s="81">
        <f>'table 1 &amp; 2'!G51/'Tables 9 &amp; 10'!$C$10</f>
        <v>0</v>
      </c>
      <c r="J10" s="81">
        <f>'table 1 &amp; 2'!H51/'Tables 9 &amp; 10'!$C$10</f>
        <v>0</v>
      </c>
      <c r="L10" t="s">
        <v>31</v>
      </c>
      <c r="M10" s="357">
        <f>C10</f>
        <v>676438</v>
      </c>
      <c r="N10" s="358">
        <f t="shared" ref="N10:N42" si="0">RANK(O10,$O$10:$O$42)</f>
        <v>1</v>
      </c>
      <c r="O10" s="319">
        <f t="shared" ref="O10:O42" si="1">M10/$M$43</f>
        <v>0.31944716643518595</v>
      </c>
      <c r="Q10" s="325"/>
      <c r="R10" s="343"/>
      <c r="S10" s="319"/>
      <c r="AT10" t="s">
        <v>31</v>
      </c>
      <c r="AU10" s="199">
        <v>635139</v>
      </c>
      <c r="AV10" s="88">
        <v>882.20166546718747</v>
      </c>
      <c r="AW10" s="79">
        <v>613.35209382805647</v>
      </c>
      <c r="AX10" s="79">
        <v>268.849571639131</v>
      </c>
      <c r="AY10" s="79">
        <v>882.20166546718747</v>
      </c>
      <c r="AZ10" s="79">
        <v>0</v>
      </c>
      <c r="BA10" s="79">
        <v>0</v>
      </c>
      <c r="BB10" s="79">
        <v>0</v>
      </c>
      <c r="BD10" s="6" t="s">
        <v>31</v>
      </c>
      <c r="BE10" s="33">
        <v>614508</v>
      </c>
      <c r="BF10" s="34">
        <v>882.61661626781438</v>
      </c>
      <c r="BG10" s="40">
        <v>605.39029009594515</v>
      </c>
      <c r="BH10" s="35">
        <v>277.22632617186912</v>
      </c>
      <c r="BI10" s="35">
        <v>882.61661626781427</v>
      </c>
      <c r="BJ10" s="40">
        <v>0</v>
      </c>
      <c r="BK10" s="35"/>
      <c r="BL10" s="35">
        <v>0</v>
      </c>
      <c r="BM10" s="35"/>
      <c r="BN10" s="35">
        <v>0</v>
      </c>
    </row>
    <row r="11" spans="2:67" x14ac:dyDescent="0.2">
      <c r="B11" t="s">
        <v>32</v>
      </c>
      <c r="C11" s="521">
        <v>3582</v>
      </c>
      <c r="D11" s="216">
        <f>'table 1 &amp; 2'!B52/'Tables 9 &amp; 10'!$C$11</f>
        <v>726.51177321663874</v>
      </c>
      <c r="E11" s="88">
        <f>'table 1 &amp; 2'!C52/'Tables 9 &amp; 10'!$C$11</f>
        <v>423.76826724092689</v>
      </c>
      <c r="F11" s="79">
        <f>'table 1 &amp; 2'!D52/'Tables 9 &amp; 10'!$C$11</f>
        <v>302.7435059757118</v>
      </c>
      <c r="G11" s="79">
        <f>'table 1 &amp; 2'!E52/'Tables 9 &amp; 10'!$C$11</f>
        <v>726.51177321663874</v>
      </c>
      <c r="H11" s="88">
        <f>'table 1 &amp; 2'!F52/'Tables 9 &amp; 10'!$C$11</f>
        <v>0</v>
      </c>
      <c r="I11" s="79">
        <f>'table 1 &amp; 2'!G52/'Tables 9 &amp; 10'!$C$11</f>
        <v>0</v>
      </c>
      <c r="J11" s="79">
        <f>'table 1 &amp; 2'!H52/'Tables 9 &amp; 10'!$C$11</f>
        <v>0</v>
      </c>
      <c r="L11" t="s">
        <v>32</v>
      </c>
      <c r="M11" s="357">
        <f t="shared" ref="M11:M42" si="2">C11</f>
        <v>3582</v>
      </c>
      <c r="N11" s="358">
        <f t="shared" si="0"/>
        <v>31</v>
      </c>
      <c r="O11" s="319">
        <f t="shared" si="1"/>
        <v>1.6915959040900068E-3</v>
      </c>
      <c r="Q11" s="325"/>
      <c r="R11" s="343"/>
      <c r="S11" s="319"/>
      <c r="AT11" t="s">
        <v>32</v>
      </c>
      <c r="AU11" s="176">
        <v>3405</v>
      </c>
      <c r="AV11" s="88">
        <v>496.19092689926578</v>
      </c>
      <c r="AW11" s="79">
        <v>205.67238232569753</v>
      </c>
      <c r="AX11" s="79">
        <v>290.51854457356825</v>
      </c>
      <c r="AY11" s="79">
        <v>496.19092689926578</v>
      </c>
      <c r="AZ11" s="79">
        <v>0</v>
      </c>
      <c r="BA11" s="79">
        <v>0</v>
      </c>
      <c r="BB11" s="79">
        <v>0</v>
      </c>
      <c r="BD11" s="8" t="s">
        <v>32</v>
      </c>
      <c r="BE11" s="36">
        <v>3712</v>
      </c>
      <c r="BF11" s="37">
        <v>429.10162770689652</v>
      </c>
      <c r="BG11" s="45">
        <v>173.61462873922412</v>
      </c>
      <c r="BH11" s="38">
        <v>255.48699896767241</v>
      </c>
      <c r="BI11" s="38">
        <v>429.10162770689652</v>
      </c>
      <c r="BJ11" s="45">
        <v>0</v>
      </c>
      <c r="BK11" s="38"/>
      <c r="BL11" s="38">
        <v>0</v>
      </c>
      <c r="BM11" s="38"/>
      <c r="BN11" s="38">
        <v>0</v>
      </c>
      <c r="BO11" s="38"/>
    </row>
    <row r="12" spans="2:67" x14ac:dyDescent="0.2">
      <c r="B12" s="52" t="s">
        <v>33</v>
      </c>
      <c r="C12" s="522">
        <v>65158</v>
      </c>
      <c r="D12" s="215">
        <f>'table 1 &amp; 2'!B53/'Tables 9 &amp; 10'!$C$12</f>
        <v>589.68377838787262</v>
      </c>
      <c r="E12" s="91">
        <f>'table 1 &amp; 2'!C53/'Tables 9 &amp; 10'!$C$12</f>
        <v>313.16133772278164</v>
      </c>
      <c r="F12" s="81">
        <f>'table 1 &amp; 2'!D53/'Tables 9 &amp; 10'!$C$12</f>
        <v>257.78597119776549</v>
      </c>
      <c r="G12" s="81">
        <f>'table 1 &amp; 2'!E53/'Tables 9 &amp; 10'!$C$12</f>
        <v>570.94730892054702</v>
      </c>
      <c r="H12" s="91">
        <f>'table 1 &amp; 2'!F53/'Tables 9 &amp; 10'!$C$12</f>
        <v>14.92304416989472</v>
      </c>
      <c r="I12" s="81">
        <f>'table 1 &amp; 2'!G53/'Tables 9 &amp; 10'!$C$12</f>
        <v>3.8134252974308605</v>
      </c>
      <c r="J12" s="81">
        <f>'table 1 &amp; 2'!H53/'Tables 9 &amp; 10'!$C$12</f>
        <v>18.73646946732558</v>
      </c>
      <c r="L12" t="s">
        <v>33</v>
      </c>
      <c r="M12" s="357">
        <f t="shared" si="2"/>
        <v>65158</v>
      </c>
      <c r="N12" s="358">
        <f t="shared" si="0"/>
        <v>10</v>
      </c>
      <c r="O12" s="319">
        <f t="shared" si="1"/>
        <v>3.0770800088971709E-2</v>
      </c>
      <c r="Q12" s="325"/>
      <c r="R12" s="343"/>
      <c r="S12" s="319"/>
      <c r="AT12" t="s">
        <v>33</v>
      </c>
      <c r="AU12" s="176">
        <v>63060</v>
      </c>
      <c r="AV12" s="88">
        <v>434.44869664086525</v>
      </c>
      <c r="AW12" s="79">
        <v>195.06965996983823</v>
      </c>
      <c r="AX12" s="79">
        <v>186.70968752992391</v>
      </c>
      <c r="AY12" s="79">
        <v>381.77934749976214</v>
      </c>
      <c r="AZ12" s="79">
        <v>43.873309759194896</v>
      </c>
      <c r="BA12" s="79">
        <v>8.7960393819081819</v>
      </c>
      <c r="BB12" s="79">
        <v>52.669349141103083</v>
      </c>
      <c r="BD12" s="6" t="s">
        <v>33</v>
      </c>
      <c r="BE12" s="39">
        <v>62203</v>
      </c>
      <c r="BF12" s="34">
        <v>390.70728816777847</v>
      </c>
      <c r="BG12" s="40">
        <v>178.51039740956227</v>
      </c>
      <c r="BH12" s="35">
        <v>177.45387647812808</v>
      </c>
      <c r="BI12" s="35">
        <v>355.96427388769035</v>
      </c>
      <c r="BJ12" s="40">
        <v>28.874836858476126</v>
      </c>
      <c r="BK12" s="35"/>
      <c r="BL12" s="35">
        <v>5.8681774216119802</v>
      </c>
      <c r="BM12" s="35"/>
      <c r="BN12" s="35">
        <v>34.743014280088111</v>
      </c>
    </row>
    <row r="13" spans="2:67" x14ac:dyDescent="0.2">
      <c r="B13" t="s">
        <v>34</v>
      </c>
      <c r="C13" s="523">
        <v>27172</v>
      </c>
      <c r="D13" s="216">
        <f>'table 1 &amp; 2'!B54/'Tables 9 &amp; 10'!$C$13</f>
        <v>470.80754439143226</v>
      </c>
      <c r="E13" s="200">
        <f>'table 1 &amp; 2'!C54/'Tables 9 &amp; 10'!$C$13</f>
        <v>189.0488609148388</v>
      </c>
      <c r="F13" s="80">
        <f>'table 1 &amp; 2'!D54/'Tables 9 &amp; 10'!$C$13</f>
        <v>281.75868347659349</v>
      </c>
      <c r="G13" s="80">
        <f>'table 1 &amp; 2'!E54/'Tables 9 &amp; 10'!$C$13</f>
        <v>470.80754439143226</v>
      </c>
      <c r="H13" s="200">
        <f>'table 1 &amp; 2'!F54/'Tables 9 &amp; 10'!$C$13</f>
        <v>0</v>
      </c>
      <c r="I13" s="80">
        <f>'table 1 &amp; 2'!G54/'Tables 9 &amp; 10'!$C$13</f>
        <v>0</v>
      </c>
      <c r="J13" s="80">
        <f>'table 1 &amp; 2'!H54/'Tables 9 &amp; 10'!$C$13</f>
        <v>0</v>
      </c>
      <c r="L13" t="s">
        <v>34</v>
      </c>
      <c r="M13" s="357">
        <f t="shared" si="2"/>
        <v>27172</v>
      </c>
      <c r="N13" s="358">
        <f t="shared" si="0"/>
        <v>17</v>
      </c>
      <c r="O13" s="319">
        <f t="shared" si="1"/>
        <v>1.2831949722482878E-2</v>
      </c>
      <c r="Q13" s="325"/>
      <c r="R13" s="343"/>
      <c r="S13" s="319"/>
      <c r="AT13" t="s">
        <v>34</v>
      </c>
      <c r="AU13" s="180">
        <v>27285</v>
      </c>
      <c r="AV13" s="200">
        <v>312.69679004812173</v>
      </c>
      <c r="AW13" s="80">
        <v>104.83855836254351</v>
      </c>
      <c r="AX13" s="80">
        <v>207.85823168557818</v>
      </c>
      <c r="AY13" s="80">
        <v>312.69679004812173</v>
      </c>
      <c r="AZ13" s="80">
        <v>0</v>
      </c>
      <c r="BA13" s="80">
        <v>0</v>
      </c>
      <c r="BB13" s="80">
        <v>0</v>
      </c>
      <c r="BD13" s="8" t="s">
        <v>34</v>
      </c>
      <c r="BE13" s="36">
        <v>28506</v>
      </c>
      <c r="BF13" s="37">
        <v>268.99687274461519</v>
      </c>
      <c r="BG13" s="45">
        <v>90.33522344674806</v>
      </c>
      <c r="BH13" s="38">
        <v>178.66164929786711</v>
      </c>
      <c r="BI13" s="38">
        <v>268.99687274461519</v>
      </c>
      <c r="BJ13" s="45">
        <v>0</v>
      </c>
      <c r="BK13" s="38"/>
      <c r="BL13" s="38">
        <v>0</v>
      </c>
      <c r="BM13" s="38"/>
      <c r="BN13" s="38">
        <v>0</v>
      </c>
      <c r="BO13" s="38"/>
    </row>
    <row r="14" spans="2:67" x14ac:dyDescent="0.2">
      <c r="B14" s="52" t="s">
        <v>35</v>
      </c>
      <c r="C14" s="522">
        <v>12385</v>
      </c>
      <c r="D14" s="215">
        <f>'table 1 &amp; 2'!B55/'Tables 9 &amp; 10'!$C$14</f>
        <v>1461.0058834946308</v>
      </c>
      <c r="E14" s="91">
        <f>'table 1 &amp; 2'!C55/'Tables 9 &amp; 10'!$C$14</f>
        <v>928.99137454218805</v>
      </c>
      <c r="F14" s="81">
        <f>'table 1 &amp; 2'!D55/'Tables 9 &amp; 10'!$C$14</f>
        <v>466.89342591748084</v>
      </c>
      <c r="G14" s="81">
        <f>'table 1 &amp; 2'!E55/'Tables 9 &amp; 10'!$C$14</f>
        <v>1395.8848004596689</v>
      </c>
      <c r="H14" s="91">
        <f>'table 1 &amp; 2'!F55/'Tables 9 &amp; 10'!$C$14</f>
        <v>53.429113269600329</v>
      </c>
      <c r="I14" s="81">
        <f>'table 1 &amp; 2'!G55/'Tables 9 &amp; 10'!$C$14</f>
        <v>11.691969765361323</v>
      </c>
      <c r="J14" s="81">
        <f>'table 1 &amp; 2'!H55/'Tables 9 &amp; 10'!$C$14</f>
        <v>65.121083034961657</v>
      </c>
      <c r="L14" t="s">
        <v>35</v>
      </c>
      <c r="M14" s="357">
        <f t="shared" si="2"/>
        <v>12385</v>
      </c>
      <c r="N14" s="358">
        <f t="shared" si="0"/>
        <v>24</v>
      </c>
      <c r="O14" s="319">
        <f t="shared" si="1"/>
        <v>5.8488038169052861E-3</v>
      </c>
      <c r="Q14" s="325"/>
      <c r="R14" s="343"/>
      <c r="S14" s="319"/>
      <c r="AT14" t="s">
        <v>35</v>
      </c>
      <c r="AU14" s="176">
        <v>12962</v>
      </c>
      <c r="AV14" s="88">
        <v>1110.6686560457908</v>
      </c>
      <c r="AW14" s="79">
        <v>520.13891565908045</v>
      </c>
      <c r="AX14" s="79">
        <v>399.2410533962352</v>
      </c>
      <c r="AY14" s="79">
        <v>919.37996905531566</v>
      </c>
      <c r="AZ14" s="79">
        <v>162.29976484230826</v>
      </c>
      <c r="BA14" s="79">
        <v>28.988922148166946</v>
      </c>
      <c r="BB14" s="79">
        <v>191.28868699047524</v>
      </c>
      <c r="BD14" s="6" t="s">
        <v>35</v>
      </c>
      <c r="BE14" s="39">
        <v>14375</v>
      </c>
      <c r="BF14" s="34">
        <v>893.49295014377071</v>
      </c>
      <c r="BG14" s="40">
        <v>416.30747287874794</v>
      </c>
      <c r="BH14" s="35">
        <v>333.96733084535663</v>
      </c>
      <c r="BI14" s="35">
        <v>750.27480372410457</v>
      </c>
      <c r="BJ14" s="40">
        <v>122.75978486166609</v>
      </c>
      <c r="BK14" s="35"/>
      <c r="BL14" s="35">
        <v>20.458361558000004</v>
      </c>
      <c r="BM14" s="35"/>
      <c r="BN14" s="35">
        <v>143.21814641966608</v>
      </c>
    </row>
    <row r="15" spans="2:67" x14ac:dyDescent="0.2">
      <c r="B15" t="s">
        <v>36</v>
      </c>
      <c r="C15" s="521">
        <v>48429</v>
      </c>
      <c r="D15" s="216">
        <f>'table 1 &amp; 2'!B56/'Tables 9 &amp; 10'!$C$15</f>
        <v>493.95160173631507</v>
      </c>
      <c r="E15" s="88">
        <f>'table 1 &amp; 2'!C56/'Tables 9 &amp; 10'!$C$15</f>
        <v>314.21139978554174</v>
      </c>
      <c r="F15" s="79">
        <f>'table 1 &amp; 2'!D56/'Tables 9 &amp; 10'!$C$15</f>
        <v>179.74020195077327</v>
      </c>
      <c r="G15" s="79">
        <f>'table 1 &amp; 2'!E56/'Tables 9 &amp; 10'!$C$15</f>
        <v>493.95160173631507</v>
      </c>
      <c r="H15" s="88">
        <f>'table 1 &amp; 2'!F56/'Tables 9 &amp; 10'!$C$15</f>
        <v>0</v>
      </c>
      <c r="I15" s="79">
        <f>'table 1 &amp; 2'!G56/'Tables 9 &amp; 10'!$C$15</f>
        <v>0</v>
      </c>
      <c r="J15" s="79">
        <f>'table 1 &amp; 2'!H56/'Tables 9 &amp; 10'!$C$15</f>
        <v>0</v>
      </c>
      <c r="L15" t="s">
        <v>36</v>
      </c>
      <c r="M15" s="357">
        <f t="shared" si="2"/>
        <v>48429</v>
      </c>
      <c r="N15" s="358">
        <f t="shared" si="0"/>
        <v>12</v>
      </c>
      <c r="O15" s="319">
        <f t="shared" si="1"/>
        <v>2.2870546632935494E-2</v>
      </c>
      <c r="Q15" s="325"/>
      <c r="R15" s="343"/>
      <c r="S15" s="319"/>
      <c r="AT15" t="s">
        <v>36</v>
      </c>
      <c r="AU15" s="176">
        <v>43755</v>
      </c>
      <c r="AV15" s="88">
        <v>335.35212314901156</v>
      </c>
      <c r="AW15" s="79">
        <v>197.93497256187868</v>
      </c>
      <c r="AX15" s="79">
        <v>137.41715058713288</v>
      </c>
      <c r="AY15" s="79">
        <v>335.35212314901156</v>
      </c>
      <c r="AZ15" s="79">
        <v>0</v>
      </c>
      <c r="BA15" s="79">
        <v>0</v>
      </c>
      <c r="BB15" s="79">
        <v>0</v>
      </c>
      <c r="BD15" s="8" t="s">
        <v>36</v>
      </c>
      <c r="BE15" s="36">
        <v>46289</v>
      </c>
      <c r="BF15" s="37">
        <v>297.58054643900277</v>
      </c>
      <c r="BG15" s="45">
        <v>170.72570727820866</v>
      </c>
      <c r="BH15" s="38">
        <v>126.85483916079414</v>
      </c>
      <c r="BI15" s="38">
        <v>297.58054643900277</v>
      </c>
      <c r="BJ15" s="45">
        <v>0</v>
      </c>
      <c r="BK15" s="38"/>
      <c r="BL15" s="38">
        <v>0</v>
      </c>
      <c r="BM15" s="38"/>
      <c r="BN15" s="38">
        <v>0</v>
      </c>
      <c r="BO15" s="38"/>
    </row>
    <row r="16" spans="2:67" x14ac:dyDescent="0.2">
      <c r="B16" s="52" t="s">
        <v>67</v>
      </c>
      <c r="C16" s="522">
        <v>1697</v>
      </c>
      <c r="D16" s="215">
        <f>'table 1 &amp; 2'!B57/'Tables 9 &amp; 10'!$C$16</f>
        <v>1320.0112946599884</v>
      </c>
      <c r="E16" s="91">
        <f>'table 1 &amp; 2'!C57/'Tables 9 &amp; 10'!$C$16</f>
        <v>267.51857350324104</v>
      </c>
      <c r="F16" s="81">
        <f>'table 1 &amp; 2'!D57/'Tables 9 &amp; 10'!$C$16</f>
        <v>1052.4927211567472</v>
      </c>
      <c r="G16" s="81">
        <f>'table 1 &amp; 2'!E57/'Tables 9 &amp; 10'!$C$16</f>
        <v>1320.0112946599884</v>
      </c>
      <c r="H16" s="91">
        <f>'table 1 &amp; 2'!F57/'Tables 9 &amp; 10'!$C$16</f>
        <v>0</v>
      </c>
      <c r="I16" s="81">
        <f>'table 1 &amp; 2'!G57/'Tables 9 &amp; 10'!$C$16</f>
        <v>0</v>
      </c>
      <c r="J16" s="81">
        <f>'table 1 &amp; 2'!H57/'Tables 9 &amp; 10'!$C$16</f>
        <v>0</v>
      </c>
      <c r="L16" t="s">
        <v>67</v>
      </c>
      <c r="M16" s="357">
        <f t="shared" si="2"/>
        <v>1697</v>
      </c>
      <c r="N16" s="358">
        <f t="shared" si="0"/>
        <v>32</v>
      </c>
      <c r="O16" s="319">
        <f t="shared" si="1"/>
        <v>8.0140654641003392E-4</v>
      </c>
      <c r="Q16" s="325"/>
      <c r="R16" s="343"/>
      <c r="S16" s="319"/>
      <c r="AT16" t="s">
        <v>67</v>
      </c>
      <c r="AU16" s="176">
        <v>1907</v>
      </c>
      <c r="AV16" s="88">
        <v>675.39820284268478</v>
      </c>
      <c r="AW16" s="79">
        <v>151.92995453959097</v>
      </c>
      <c r="AX16" s="79">
        <v>523.46824830309379</v>
      </c>
      <c r="AY16" s="79">
        <v>675.39820284268478</v>
      </c>
      <c r="AZ16" s="79">
        <v>0</v>
      </c>
      <c r="BA16" s="79">
        <v>0</v>
      </c>
      <c r="BB16" s="79">
        <v>0</v>
      </c>
      <c r="BD16" s="6" t="s">
        <v>67</v>
      </c>
      <c r="BE16" s="39">
        <v>2256</v>
      </c>
      <c r="BF16" s="34">
        <v>587.55907570966315</v>
      </c>
      <c r="BG16" s="40">
        <v>133.46612685328014</v>
      </c>
      <c r="BH16" s="35">
        <v>454.09294885638303</v>
      </c>
      <c r="BI16" s="35">
        <v>587.55907570966315</v>
      </c>
      <c r="BJ16" s="40">
        <v>0</v>
      </c>
      <c r="BK16" s="35"/>
      <c r="BL16" s="35">
        <v>0</v>
      </c>
      <c r="BM16" s="35"/>
      <c r="BN16" s="35">
        <v>0</v>
      </c>
    </row>
    <row r="17" spans="2:67" x14ac:dyDescent="0.2">
      <c r="B17" t="s">
        <v>37</v>
      </c>
      <c r="C17" s="521">
        <v>219567</v>
      </c>
      <c r="D17" s="216">
        <f>'table 1 &amp; 2'!B58/'Tables 9 &amp; 10'!$C$17</f>
        <v>728.71540120827353</v>
      </c>
      <c r="E17" s="88">
        <f>'table 1 &amp; 2'!C58/'Tables 9 &amp; 10'!$C$17</f>
        <v>511.78647552090246</v>
      </c>
      <c r="F17" s="79">
        <f>'table 1 &amp; 2'!D58/'Tables 9 &amp; 10'!$C$17</f>
        <v>216.92892568737105</v>
      </c>
      <c r="G17" s="79">
        <f>'table 1 &amp; 2'!E58/'Tables 9 &amp; 10'!$C$17</f>
        <v>728.71540120827353</v>
      </c>
      <c r="H17" s="88">
        <f>'table 1 &amp; 2'!F58/'Tables 9 &amp; 10'!$C$17</f>
        <v>0</v>
      </c>
      <c r="I17" s="79">
        <f>'table 1 &amp; 2'!G58/'Tables 9 &amp; 10'!$C$17</f>
        <v>0</v>
      </c>
      <c r="J17" s="79">
        <f>'table 1 &amp; 2'!H58/'Tables 9 &amp; 10'!$C$17</f>
        <v>0</v>
      </c>
      <c r="L17" t="s">
        <v>37</v>
      </c>
      <c r="M17" s="357">
        <f t="shared" si="2"/>
        <v>219567</v>
      </c>
      <c r="N17" s="358">
        <f t="shared" si="0"/>
        <v>2</v>
      </c>
      <c r="O17" s="319">
        <f t="shared" si="1"/>
        <v>0.1036902953303547</v>
      </c>
      <c r="Q17" s="325"/>
      <c r="R17" s="343"/>
      <c r="S17" s="319"/>
      <c r="AT17" t="s">
        <v>37</v>
      </c>
      <c r="AU17" s="176">
        <v>201603</v>
      </c>
      <c r="AV17" s="88">
        <v>494.9442132881108</v>
      </c>
      <c r="AW17" s="79">
        <v>307.95916953812196</v>
      </c>
      <c r="AX17" s="79">
        <v>186.98504374998888</v>
      </c>
      <c r="AY17" s="79">
        <v>494.9442132881108</v>
      </c>
      <c r="AZ17" s="79">
        <v>0</v>
      </c>
      <c r="BA17" s="79">
        <v>0</v>
      </c>
      <c r="BB17" s="79">
        <v>0</v>
      </c>
      <c r="BD17" s="8" t="s">
        <v>37</v>
      </c>
      <c r="BE17" s="36">
        <v>192474</v>
      </c>
      <c r="BF17" s="37">
        <v>492.01395775712558</v>
      </c>
      <c r="BG17" s="45">
        <v>301.94273247190785</v>
      </c>
      <c r="BH17" s="38">
        <v>190.07122528521774</v>
      </c>
      <c r="BI17" s="38">
        <v>492.01395775712558</v>
      </c>
      <c r="BJ17" s="45">
        <v>0</v>
      </c>
      <c r="BK17" s="38"/>
      <c r="BL17" s="38">
        <v>0</v>
      </c>
      <c r="BM17" s="38"/>
      <c r="BN17" s="38">
        <v>0</v>
      </c>
      <c r="BO17" s="38"/>
    </row>
    <row r="18" spans="2:67" x14ac:dyDescent="0.2">
      <c r="B18" s="52" t="s">
        <v>38</v>
      </c>
      <c r="C18" s="522">
        <v>62314</v>
      </c>
      <c r="D18" s="215">
        <f>'table 1 &amp; 2'!B59/'Tables 9 &amp; 10'!$C$18</f>
        <v>4760.1731286066852</v>
      </c>
      <c r="E18" s="91">
        <f>'table 1 &amp; 2'!C59/'Tables 9 &amp; 10'!$C$18</f>
        <v>360.92892992128566</v>
      </c>
      <c r="F18" s="81">
        <f>'table 1 &amp; 2'!D59/'Tables 9 &amp; 10'!$C$18</f>
        <v>1203.9463676811151</v>
      </c>
      <c r="G18" s="81">
        <f>'table 1 &amp; 2'!E59/'Tables 9 &amp; 10'!$C$18</f>
        <v>1564.8752976024009</v>
      </c>
      <c r="H18" s="91">
        <f>'table 1 &amp; 2'!F59/'Tables 9 &amp; 10'!$C$18</f>
        <v>2571.8448670692301</v>
      </c>
      <c r="I18" s="81">
        <f>'table 1 &amp; 2'!G59/'Tables 9 &amp; 10'!$C$18</f>
        <v>623.45296393505475</v>
      </c>
      <c r="J18" s="81">
        <f>'table 1 &amp; 2'!H59/'Tables 9 &amp; 10'!$C$18</f>
        <v>3195.2978310042845</v>
      </c>
      <c r="L18" t="s">
        <v>38</v>
      </c>
      <c r="M18" s="357">
        <f t="shared" si="2"/>
        <v>62314</v>
      </c>
      <c r="N18" s="358">
        <f t="shared" si="0"/>
        <v>11</v>
      </c>
      <c r="O18" s="319">
        <f t="shared" si="1"/>
        <v>2.9427723944015827E-2</v>
      </c>
      <c r="Q18" s="325"/>
      <c r="R18" s="343"/>
      <c r="S18" s="319"/>
      <c r="AT18" t="s">
        <v>38</v>
      </c>
      <c r="AU18" s="176">
        <v>51360</v>
      </c>
      <c r="AV18" s="88">
        <v>1348.5127345531007</v>
      </c>
      <c r="AW18" s="79">
        <v>171.59946366359034</v>
      </c>
      <c r="AX18" s="79">
        <v>329.95314600514018</v>
      </c>
      <c r="AY18" s="79">
        <v>501.55260966873055</v>
      </c>
      <c r="AZ18" s="79">
        <v>705.94931788565202</v>
      </c>
      <c r="BA18" s="79">
        <v>141.01080699871807</v>
      </c>
      <c r="BB18" s="79">
        <v>846.96012488437009</v>
      </c>
      <c r="BD18" s="6" t="s">
        <v>38</v>
      </c>
      <c r="BE18" s="39">
        <v>52167</v>
      </c>
      <c r="BF18" s="34">
        <v>1063.4223341219806</v>
      </c>
      <c r="BG18" s="40">
        <v>157.19278330178085</v>
      </c>
      <c r="BH18" s="35">
        <v>279.08037008509217</v>
      </c>
      <c r="BI18" s="35">
        <v>436.27315338687299</v>
      </c>
      <c r="BJ18" s="40">
        <v>521.11528006307117</v>
      </c>
      <c r="BK18" s="35"/>
      <c r="BL18" s="35">
        <v>106.03390067203654</v>
      </c>
      <c r="BM18" s="35"/>
      <c r="BN18" s="35">
        <v>627.14918073510773</v>
      </c>
    </row>
    <row r="19" spans="2:67" x14ac:dyDescent="0.2">
      <c r="B19" t="s">
        <v>39</v>
      </c>
      <c r="C19" s="521">
        <v>28190</v>
      </c>
      <c r="D19" s="216">
        <f>'table 1 &amp; 2'!B60/'Tables 9 &amp; 10'!$C$19</f>
        <v>560.96705623125229</v>
      </c>
      <c r="E19" s="88">
        <f>'table 1 &amp; 2'!C60/'Tables 9 &amp; 10'!$C$19</f>
        <v>284.13868080244771</v>
      </c>
      <c r="F19" s="79">
        <f>'table 1 &amp; 2'!D60/'Tables 9 &amp; 10'!$C$19</f>
        <v>170.8146113958496</v>
      </c>
      <c r="G19" s="79">
        <f>'table 1 &amp; 2'!E60/'Tables 9 &amp; 10'!$C$19</f>
        <v>454.95329219829728</v>
      </c>
      <c r="H19" s="88">
        <f>'table 1 &amp; 2'!F60/'Tables 9 &amp; 10'!$C$19</f>
        <v>106.01376403295494</v>
      </c>
      <c r="I19" s="79">
        <f>'table 1 &amp; 2'!G60/'Tables 9 &amp; 10'!$C$19</f>
        <v>0</v>
      </c>
      <c r="J19" s="79">
        <f>'table 1 &amp; 2'!H60/'Tables 9 &amp; 10'!$C$19</f>
        <v>106.01376403295494</v>
      </c>
      <c r="L19" t="s">
        <v>39</v>
      </c>
      <c r="M19" s="357">
        <f t="shared" si="2"/>
        <v>28190</v>
      </c>
      <c r="N19" s="358">
        <f t="shared" si="0"/>
        <v>15</v>
      </c>
      <c r="O19" s="319">
        <f t="shared" si="1"/>
        <v>1.3312699200529675E-2</v>
      </c>
      <c r="Q19" s="325"/>
      <c r="R19" s="343"/>
      <c r="S19" s="319"/>
      <c r="AT19" t="s">
        <v>39</v>
      </c>
      <c r="AU19" s="176">
        <v>29844</v>
      </c>
      <c r="AV19" s="88">
        <v>450.05530897507032</v>
      </c>
      <c r="AW19" s="79">
        <v>181.14535072098241</v>
      </c>
      <c r="AX19" s="79">
        <v>133.83328000526069</v>
      </c>
      <c r="AY19" s="79">
        <v>314.97863072624307</v>
      </c>
      <c r="AZ19" s="79">
        <v>135.07667824882725</v>
      </c>
      <c r="BA19" s="79">
        <v>0</v>
      </c>
      <c r="BB19" s="79">
        <v>135.07667824882725</v>
      </c>
      <c r="BD19" s="8" t="s">
        <v>39</v>
      </c>
      <c r="BE19" s="36">
        <v>31511</v>
      </c>
      <c r="BF19" s="37">
        <v>402.03484050214212</v>
      </c>
      <c r="BG19" s="45">
        <v>162.28592394830378</v>
      </c>
      <c r="BH19" s="38">
        <v>121.71935388803908</v>
      </c>
      <c r="BI19" s="38">
        <v>284.00527783634283</v>
      </c>
      <c r="BJ19" s="45">
        <v>118.02956266579925</v>
      </c>
      <c r="BK19" s="38"/>
      <c r="BL19" s="38">
        <v>0</v>
      </c>
      <c r="BM19" s="38"/>
      <c r="BN19" s="38">
        <v>118.02956266579925</v>
      </c>
      <c r="BO19" s="38"/>
    </row>
    <row r="20" spans="2:67" x14ac:dyDescent="0.2">
      <c r="B20" s="52" t="s">
        <v>40</v>
      </c>
      <c r="C20" s="522">
        <v>4451</v>
      </c>
      <c r="D20" s="215">
        <f>'table 1 &amp; 2'!B61/'Tables 9 &amp; 10'!$C$20</f>
        <v>1162.3880922520782</v>
      </c>
      <c r="E20" s="91">
        <f>'table 1 &amp; 2'!C61/'Tables 9 &amp; 10'!$C$20</f>
        <v>237.44508315929008</v>
      </c>
      <c r="F20" s="81">
        <f>'table 1 &amp; 2'!D61/'Tables 9 &amp; 10'!$C$20</f>
        <v>924.94300909278809</v>
      </c>
      <c r="G20" s="81">
        <f>'table 1 &amp; 2'!E61/'Tables 9 &amp; 10'!$C$20</f>
        <v>1162.3880922520782</v>
      </c>
      <c r="H20" s="91">
        <f>'table 1 &amp; 2'!F61/'Tables 9 &amp; 10'!$C$20</f>
        <v>0</v>
      </c>
      <c r="I20" s="81">
        <f>'table 1 &amp; 2'!G61/'Tables 9 &amp; 10'!$C$20</f>
        <v>0</v>
      </c>
      <c r="J20" s="81">
        <f>'table 1 &amp; 2'!H61/'Tables 9 &amp; 10'!$C$20</f>
        <v>0</v>
      </c>
      <c r="L20" t="s">
        <v>40</v>
      </c>
      <c r="M20" s="357">
        <f>C20</f>
        <v>4451</v>
      </c>
      <c r="N20" s="358">
        <f t="shared" si="0"/>
        <v>27</v>
      </c>
      <c r="O20" s="319">
        <f t="shared" si="1"/>
        <v>2.101980281715416E-3</v>
      </c>
      <c r="Q20" s="325"/>
      <c r="R20" s="343"/>
      <c r="S20" s="319"/>
      <c r="AT20" t="s">
        <v>40</v>
      </c>
      <c r="AU20" s="176">
        <v>4346</v>
      </c>
      <c r="AV20" s="88">
        <v>744.78305771744135</v>
      </c>
      <c r="AW20" s="79">
        <v>173.7032747887713</v>
      </c>
      <c r="AX20" s="79">
        <v>571.07978292867006</v>
      </c>
      <c r="AY20" s="79">
        <v>744.78305771744135</v>
      </c>
      <c r="AZ20" s="79">
        <v>0</v>
      </c>
      <c r="BA20" s="79">
        <v>0</v>
      </c>
      <c r="BB20" s="79">
        <v>0</v>
      </c>
      <c r="BD20" s="6" t="s">
        <v>40</v>
      </c>
      <c r="BE20" s="39">
        <v>4743</v>
      </c>
      <c r="BF20" s="34">
        <v>574.66492252772514</v>
      </c>
      <c r="BG20" s="40">
        <v>134.1807733348092</v>
      </c>
      <c r="BH20" s="35">
        <v>440.48414919291588</v>
      </c>
      <c r="BI20" s="35">
        <v>574.66492252772514</v>
      </c>
      <c r="BJ20" s="40">
        <v>0</v>
      </c>
      <c r="BK20" s="35"/>
      <c r="BL20" s="35">
        <v>0</v>
      </c>
      <c r="BM20" s="35"/>
      <c r="BN20" s="35">
        <v>0</v>
      </c>
    </row>
    <row r="21" spans="2:67" x14ac:dyDescent="0.2">
      <c r="B21" t="s">
        <v>41</v>
      </c>
      <c r="C21" s="521">
        <v>655</v>
      </c>
      <c r="D21" s="216">
        <f>'table 1 &amp; 2'!B62/'Tables 9 &amp; 10'!$C$21</f>
        <v>2919.7598818854967</v>
      </c>
      <c r="E21" s="88">
        <f>'table 1 &amp; 2'!C62/'Tables 9 &amp; 10'!$C$21</f>
        <v>185.38819883358778</v>
      </c>
      <c r="F21" s="79">
        <f>'table 1 &amp; 2'!D62/'Tables 9 &amp; 10'!$C$21</f>
        <v>2057.5296040809167</v>
      </c>
      <c r="G21" s="79">
        <f>'table 1 &amp; 2'!E62/'Tables 9 &amp; 10'!$C$21</f>
        <v>2242.9178029145041</v>
      </c>
      <c r="H21" s="88">
        <f>'table 1 &amp; 2'!F62/'Tables 9 &amp; 10'!$C$21</f>
        <v>551.84103923969474</v>
      </c>
      <c r="I21" s="79">
        <f>'table 1 &amp; 2'!G62/'Tables 9 &amp; 10'!$C$21</f>
        <v>125.00103973129772</v>
      </c>
      <c r="J21" s="79">
        <f>'table 1 &amp; 2'!H62/'Tables 9 &amp; 10'!$C$21</f>
        <v>676.84207897099247</v>
      </c>
      <c r="L21" t="s">
        <v>41</v>
      </c>
      <c r="M21" s="357">
        <f t="shared" si="2"/>
        <v>655</v>
      </c>
      <c r="N21" s="358">
        <f t="shared" si="0"/>
        <v>33</v>
      </c>
      <c r="O21" s="319">
        <f t="shared" si="1"/>
        <v>3.0932309245643619E-4</v>
      </c>
      <c r="Q21" s="325"/>
      <c r="R21" s="343"/>
      <c r="S21" s="319"/>
      <c r="AT21" t="s">
        <v>41</v>
      </c>
      <c r="AU21" s="176">
        <v>684</v>
      </c>
      <c r="AV21" s="88">
        <v>1804.123221453319</v>
      </c>
      <c r="AW21" s="79">
        <v>102.17836043567252</v>
      </c>
      <c r="AX21" s="79">
        <v>1105.039436239766</v>
      </c>
      <c r="AY21" s="79">
        <v>1207.2177966754386</v>
      </c>
      <c r="AZ21" s="79">
        <v>500.60323827307025</v>
      </c>
      <c r="BA21" s="79">
        <v>96.302186504809953</v>
      </c>
      <c r="BB21" s="79">
        <v>596.90542477788017</v>
      </c>
      <c r="BD21" s="8" t="s">
        <v>41</v>
      </c>
      <c r="BE21" s="36">
        <v>778</v>
      </c>
      <c r="BF21" s="37">
        <v>1042.2148473477764</v>
      </c>
      <c r="BG21" s="45">
        <v>85.996347245501283</v>
      </c>
      <c r="BH21" s="38">
        <v>472.48842539974294</v>
      </c>
      <c r="BI21" s="38">
        <v>558.48477264524422</v>
      </c>
      <c r="BJ21" s="45">
        <v>416.8672404773136</v>
      </c>
      <c r="BK21" s="38"/>
      <c r="BL21" s="38">
        <v>66.862834225218506</v>
      </c>
      <c r="BM21" s="38"/>
      <c r="BN21" s="38">
        <v>483.73007470253208</v>
      </c>
      <c r="BO21" s="38"/>
    </row>
    <row r="22" spans="2:67" x14ac:dyDescent="0.2">
      <c r="B22" s="52" t="s">
        <v>42</v>
      </c>
      <c r="C22" s="522">
        <v>4180</v>
      </c>
      <c r="D22" s="215">
        <f>'table 1 &amp; 2'!B63/'Tables 9 &amp; 10'!$C$22</f>
        <v>955.17947603253594</v>
      </c>
      <c r="E22" s="91">
        <f>'table 1 &amp; 2'!C63/'Tables 9 &amp; 10'!$C$22</f>
        <v>130.68492668947371</v>
      </c>
      <c r="F22" s="81">
        <f>'table 1 &amp; 2'!D63/'Tables 9 &amp; 10'!$C$22</f>
        <v>824.4945493430622</v>
      </c>
      <c r="G22" s="81">
        <f>'table 1 &amp; 2'!E63/'Tables 9 &amp; 10'!$C$22</f>
        <v>955.17947603253594</v>
      </c>
      <c r="H22" s="91">
        <f>'table 1 &amp; 2'!F63/'Tables 9 &amp; 10'!$C$22</f>
        <v>0</v>
      </c>
      <c r="I22" s="81">
        <f>'table 1 &amp; 2'!G63/'Tables 9 &amp; 10'!$C$22</f>
        <v>0</v>
      </c>
      <c r="J22" s="81">
        <f>'table 1 &amp; 2'!H63/'Tables 9 &amp; 10'!$C$22</f>
        <v>0</v>
      </c>
      <c r="L22" t="s">
        <v>42</v>
      </c>
      <c r="M22" s="357">
        <f t="shared" si="2"/>
        <v>4180</v>
      </c>
      <c r="N22" s="358">
        <f t="shared" si="0"/>
        <v>29</v>
      </c>
      <c r="O22" s="319">
        <f t="shared" si="1"/>
        <v>1.9740008037677915E-3</v>
      </c>
      <c r="Q22" s="325"/>
      <c r="R22" s="343"/>
      <c r="S22" s="319"/>
      <c r="AT22" t="s">
        <v>42</v>
      </c>
      <c r="AU22" s="176">
        <v>4910</v>
      </c>
      <c r="AV22" s="88">
        <v>597.40432298065173</v>
      </c>
      <c r="AW22" s="79">
        <v>90.074106572301417</v>
      </c>
      <c r="AX22" s="79">
        <v>507.33021640835034</v>
      </c>
      <c r="AY22" s="79">
        <v>597.40432298065173</v>
      </c>
      <c r="AZ22" s="79">
        <v>0</v>
      </c>
      <c r="BA22" s="79">
        <v>0</v>
      </c>
      <c r="BB22" s="79">
        <v>0</v>
      </c>
      <c r="BD22" s="6" t="s">
        <v>42</v>
      </c>
      <c r="BE22" s="39">
        <v>5966</v>
      </c>
      <c r="BF22" s="34">
        <v>514.84261579567544</v>
      </c>
      <c r="BG22" s="40">
        <v>71.685178622527673</v>
      </c>
      <c r="BH22" s="35">
        <v>443.1574371731478</v>
      </c>
      <c r="BI22" s="35">
        <v>514.84261579567544</v>
      </c>
      <c r="BJ22" s="40">
        <v>0</v>
      </c>
      <c r="BK22" s="35"/>
      <c r="BL22" s="35">
        <v>0</v>
      </c>
      <c r="BM22" s="35"/>
      <c r="BN22" s="35">
        <v>0</v>
      </c>
    </row>
    <row r="23" spans="2:67" x14ac:dyDescent="0.2">
      <c r="B23" t="s">
        <v>43</v>
      </c>
      <c r="C23" s="521">
        <v>74455</v>
      </c>
      <c r="D23" s="216">
        <f>'table 1 &amp; 2'!B64/'Tables 9 &amp; 10'!$C$23</f>
        <v>5045.5205144261899</v>
      </c>
      <c r="E23" s="88">
        <f>'table 1 &amp; 2'!C64/'Tables 9 &amp; 10'!$C$23</f>
        <v>277.71685859726006</v>
      </c>
      <c r="F23" s="79">
        <f>'table 1 &amp; 2'!D64/'Tables 9 &amp; 10'!$C$23</f>
        <v>798.82718944413409</v>
      </c>
      <c r="G23" s="79">
        <f>'table 1 &amp; 2'!E64/'Tables 9 &amp; 10'!$C$23</f>
        <v>1076.544048041394</v>
      </c>
      <c r="H23" s="88">
        <f>'table 1 &amp; 2'!F64/'Tables 9 &amp; 10'!$C$23</f>
        <v>3179.4925167316901</v>
      </c>
      <c r="I23" s="79">
        <f>'table 1 &amp; 2'!G64/'Tables 9 &amp; 10'!$C$23</f>
        <v>789.48394965310592</v>
      </c>
      <c r="J23" s="79">
        <f>'table 1 &amp; 2'!H64/'Tables 9 &amp; 10'!$C$23</f>
        <v>3968.9764663847959</v>
      </c>
      <c r="L23" t="s">
        <v>43</v>
      </c>
      <c r="M23" s="357">
        <f t="shared" si="2"/>
        <v>74455</v>
      </c>
      <c r="N23" s="358">
        <f t="shared" si="0"/>
        <v>7</v>
      </c>
      <c r="O23" s="319">
        <f t="shared" si="1"/>
        <v>3.5161299005868639E-2</v>
      </c>
      <c r="Q23" s="325"/>
      <c r="R23" s="343"/>
      <c r="S23" s="319"/>
      <c r="AT23" t="s">
        <v>43</v>
      </c>
      <c r="AU23" s="176">
        <v>59155</v>
      </c>
      <c r="AV23" s="88">
        <v>1652.5997468199464</v>
      </c>
      <c r="AW23" s="79">
        <v>155.73101555190601</v>
      </c>
      <c r="AX23" s="79">
        <v>289.25840906016401</v>
      </c>
      <c r="AY23" s="79">
        <v>444.98942461207002</v>
      </c>
      <c r="AZ23" s="79">
        <v>1010.8868734320212</v>
      </c>
      <c r="BA23" s="79">
        <v>196.72344877585513</v>
      </c>
      <c r="BB23" s="79">
        <v>1207.6103222078762</v>
      </c>
      <c r="BD23" s="8" t="s">
        <v>43</v>
      </c>
      <c r="BE23" s="36">
        <v>57006</v>
      </c>
      <c r="BF23" s="37">
        <v>1319.4952186382982</v>
      </c>
      <c r="BG23" s="45">
        <v>142.84931179738976</v>
      </c>
      <c r="BH23" s="38">
        <v>224.49266312232047</v>
      </c>
      <c r="BI23" s="38">
        <v>367.3419749197102</v>
      </c>
      <c r="BJ23" s="45">
        <v>796.34978520367065</v>
      </c>
      <c r="BK23" s="38"/>
      <c r="BL23" s="38">
        <v>155.80345851491739</v>
      </c>
      <c r="BM23" s="38"/>
      <c r="BN23" s="38">
        <v>952.15324371858799</v>
      </c>
      <c r="BO23" s="38"/>
    </row>
    <row r="24" spans="2:67" x14ac:dyDescent="0.2">
      <c r="B24" s="52" t="s">
        <v>44</v>
      </c>
      <c r="C24" s="522">
        <v>20273</v>
      </c>
      <c r="D24" s="215">
        <f>'table 1 &amp; 2'!B65/'Tables 9 &amp; 10'!$C$24</f>
        <v>1755.2176669381442</v>
      </c>
      <c r="E24" s="91">
        <f>'table 1 &amp; 2'!C65/'Tables 9 &amp; 10'!$C$24</f>
        <v>1195.8241786807082</v>
      </c>
      <c r="F24" s="81">
        <f>'table 1 &amp; 2'!D65/'Tables 9 &amp; 10'!$C$24</f>
        <v>559.39348825743605</v>
      </c>
      <c r="G24" s="81">
        <f>'table 1 &amp; 2'!E65/'Tables 9 &amp; 10'!$C$24</f>
        <v>1755.2176669381442</v>
      </c>
      <c r="H24" s="91">
        <f>'table 1 &amp; 2'!F65/'Tables 9 &amp; 10'!$C$24</f>
        <v>0</v>
      </c>
      <c r="I24" s="81">
        <f>'table 1 &amp; 2'!G65/'Tables 9 &amp; 10'!$C$24</f>
        <v>0</v>
      </c>
      <c r="J24" s="81">
        <f>'table 1 &amp; 2'!H65/'Tables 9 &amp; 10'!$C$24</f>
        <v>0</v>
      </c>
      <c r="L24" t="s">
        <v>44</v>
      </c>
      <c r="M24" s="357">
        <f t="shared" si="2"/>
        <v>20273</v>
      </c>
      <c r="N24" s="358">
        <f t="shared" si="0"/>
        <v>19</v>
      </c>
      <c r="O24" s="319">
        <f t="shared" si="1"/>
        <v>9.5739038982737886E-3</v>
      </c>
      <c r="Q24" s="325"/>
      <c r="R24" s="343"/>
      <c r="S24" s="319"/>
      <c r="AT24" t="s">
        <v>44</v>
      </c>
      <c r="AU24" s="176">
        <v>20793</v>
      </c>
      <c r="AV24" s="88">
        <v>1083.2882685720194</v>
      </c>
      <c r="AW24" s="79">
        <v>733.72784200471312</v>
      </c>
      <c r="AX24" s="79">
        <v>349.56042656730631</v>
      </c>
      <c r="AY24" s="79">
        <v>1083.2882685720194</v>
      </c>
      <c r="AZ24" s="79">
        <v>0</v>
      </c>
      <c r="BA24" s="79">
        <v>0</v>
      </c>
      <c r="BB24" s="79">
        <v>0</v>
      </c>
      <c r="BD24" s="6" t="s">
        <v>44</v>
      </c>
      <c r="BE24" s="39">
        <v>21898</v>
      </c>
      <c r="BF24" s="34">
        <v>929.33462706945875</v>
      </c>
      <c r="BG24" s="40">
        <v>638.24935469143327</v>
      </c>
      <c r="BH24" s="35">
        <v>291.08527237802537</v>
      </c>
      <c r="BI24" s="35">
        <v>929.33462706945875</v>
      </c>
      <c r="BJ24" s="40">
        <v>0</v>
      </c>
      <c r="BK24" s="35"/>
      <c r="BL24" s="35">
        <v>0</v>
      </c>
      <c r="BM24" s="35"/>
      <c r="BN24" s="35">
        <v>0</v>
      </c>
    </row>
    <row r="25" spans="2:67" x14ac:dyDescent="0.2">
      <c r="B25" t="s">
        <v>45</v>
      </c>
      <c r="C25" s="521">
        <v>19418</v>
      </c>
      <c r="D25" s="216">
        <f>'table 1 &amp; 2'!B66/'Tables 9 &amp; 10'!$C$25</f>
        <v>1172.8168941939437</v>
      </c>
      <c r="E25" s="88">
        <f>'table 1 &amp; 2'!C66/'Tables 9 &amp; 10'!$C$25</f>
        <v>1005.5458487274693</v>
      </c>
      <c r="F25" s="79">
        <f>'table 1 &amp; 2'!D66/'Tables 9 &amp; 10'!$C$25</f>
        <v>167.27104546647439</v>
      </c>
      <c r="G25" s="79">
        <f>'table 1 &amp; 2'!E66/'Tables 9 &amp; 10'!$C$25</f>
        <v>1172.8168941939437</v>
      </c>
      <c r="H25" s="88">
        <f>'table 1 &amp; 2'!F66/'Tables 9 &amp; 10'!$C$25</f>
        <v>0</v>
      </c>
      <c r="I25" s="79">
        <f>'table 1 &amp; 2'!G66/'Tables 9 &amp; 10'!$C$25</f>
        <v>0</v>
      </c>
      <c r="J25" s="79">
        <f>'table 1 &amp; 2'!H66/'Tables 9 &amp; 10'!$C$25</f>
        <v>0</v>
      </c>
      <c r="L25" t="s">
        <v>45</v>
      </c>
      <c r="M25" s="357">
        <f t="shared" si="2"/>
        <v>19418</v>
      </c>
      <c r="N25" s="358">
        <f t="shared" si="0"/>
        <v>20</v>
      </c>
      <c r="O25" s="319">
        <f t="shared" si="1"/>
        <v>9.1701310065940133E-3</v>
      </c>
      <c r="Q25" s="325"/>
      <c r="R25" s="343"/>
      <c r="S25" s="319"/>
      <c r="AT25" t="s">
        <v>45</v>
      </c>
      <c r="AU25" s="176">
        <v>18150</v>
      </c>
      <c r="AV25" s="88">
        <v>924.6623763537192</v>
      </c>
      <c r="AW25" s="79">
        <v>778.87098290468327</v>
      </c>
      <c r="AX25" s="79">
        <v>145.79139344903581</v>
      </c>
      <c r="AY25" s="79">
        <v>924.6623763537192</v>
      </c>
      <c r="AZ25" s="79">
        <v>0</v>
      </c>
      <c r="BA25" s="79">
        <v>0</v>
      </c>
      <c r="BB25" s="79">
        <v>0</v>
      </c>
      <c r="BD25" s="8" t="s">
        <v>45</v>
      </c>
      <c r="BE25" s="36">
        <v>19864</v>
      </c>
      <c r="BF25" s="37">
        <v>651.12501804118017</v>
      </c>
      <c r="BG25" s="45">
        <v>537.75977843586395</v>
      </c>
      <c r="BH25" s="38">
        <v>113.36523960531616</v>
      </c>
      <c r="BI25" s="38">
        <v>651.12501804118017</v>
      </c>
      <c r="BJ25" s="45">
        <v>0</v>
      </c>
      <c r="BK25" s="38"/>
      <c r="BL25" s="38">
        <v>0</v>
      </c>
      <c r="BM25" s="38"/>
      <c r="BN25" s="38">
        <v>0</v>
      </c>
      <c r="BO25" s="38"/>
    </row>
    <row r="26" spans="2:67" x14ac:dyDescent="0.2">
      <c r="B26" s="52" t="s">
        <v>46</v>
      </c>
      <c r="C26" s="522">
        <v>25422</v>
      </c>
      <c r="D26" s="215">
        <f>'table 1 &amp; 2'!B67/'Tables 9 &amp; 10'!$C$26</f>
        <v>584.87825086661155</v>
      </c>
      <c r="E26" s="91">
        <f>'table 1 &amp; 2'!C67/'Tables 9 &amp; 10'!$C$26</f>
        <v>253.25971389583822</v>
      </c>
      <c r="F26" s="81">
        <f>'table 1 &amp; 2'!D67/'Tables 9 &amp; 10'!$C$26</f>
        <v>331.61853697077339</v>
      </c>
      <c r="G26" s="81">
        <f>'table 1 &amp; 2'!E67/'Tables 9 &amp; 10'!$C$26</f>
        <v>584.87825086661155</v>
      </c>
      <c r="H26" s="91">
        <f>'table 1 &amp; 2'!F67/'Tables 9 &amp; 10'!$C$26</f>
        <v>0</v>
      </c>
      <c r="I26" s="81">
        <f>'table 1 &amp; 2'!G67/'Tables 9 &amp; 10'!$C$26</f>
        <v>0</v>
      </c>
      <c r="J26" s="81">
        <f>'table 1 &amp; 2'!H67/'Tables 9 &amp; 10'!$C$26</f>
        <v>0</v>
      </c>
      <c r="L26" t="s">
        <v>46</v>
      </c>
      <c r="M26" s="357">
        <f t="shared" si="2"/>
        <v>25422</v>
      </c>
      <c r="N26" s="358">
        <f t="shared" si="0"/>
        <v>18</v>
      </c>
      <c r="O26" s="319">
        <f t="shared" si="1"/>
        <v>1.2005513979278659E-2</v>
      </c>
      <c r="Q26" s="206"/>
      <c r="R26" s="342"/>
      <c r="S26" s="319"/>
      <c r="AT26" t="s">
        <v>46</v>
      </c>
      <c r="AU26" s="176">
        <v>27227</v>
      </c>
      <c r="AV26" s="88">
        <v>364.40906285235246</v>
      </c>
      <c r="AW26" s="79">
        <v>158.77315940353327</v>
      </c>
      <c r="AX26" s="79">
        <v>205.63590344881922</v>
      </c>
      <c r="AY26" s="79">
        <v>364.40906285235246</v>
      </c>
      <c r="AZ26" s="79">
        <v>0</v>
      </c>
      <c r="BA26" s="79">
        <v>0</v>
      </c>
      <c r="BB26" s="79">
        <v>0</v>
      </c>
      <c r="BD26" s="6" t="s">
        <v>46</v>
      </c>
      <c r="BE26" s="39">
        <v>26394</v>
      </c>
      <c r="BF26" s="34">
        <v>363.46963005588395</v>
      </c>
      <c r="BG26" s="40">
        <v>153.40897676199134</v>
      </c>
      <c r="BH26" s="35">
        <v>210.06065329389256</v>
      </c>
      <c r="BI26" s="35">
        <v>363.46963005588395</v>
      </c>
      <c r="BJ26" s="40">
        <v>0</v>
      </c>
      <c r="BK26" s="35"/>
      <c r="BL26" s="35">
        <v>0</v>
      </c>
      <c r="BM26" s="35"/>
      <c r="BN26" s="35">
        <v>0</v>
      </c>
    </row>
    <row r="27" spans="2:67" x14ac:dyDescent="0.2">
      <c r="B27" t="s">
        <v>47</v>
      </c>
      <c r="C27" s="521">
        <v>72898</v>
      </c>
      <c r="D27" s="216">
        <f>'table 1 &amp; 2'!B68/'Tables 9 &amp; 10'!$C$27</f>
        <v>367.58286991171235</v>
      </c>
      <c r="E27" s="88">
        <f>'table 1 &amp; 2'!C68/'Tables 9 &amp; 10'!$C$27</f>
        <v>135.32542838017505</v>
      </c>
      <c r="F27" s="79">
        <f>'table 1 &amp; 2'!D68/'Tables 9 &amp; 10'!$C$27</f>
        <v>232.14706689403005</v>
      </c>
      <c r="G27" s="79">
        <f>'table 1 &amp; 2'!E68/'Tables 9 &amp; 10'!$C$27</f>
        <v>367.47249527420513</v>
      </c>
      <c r="H27" s="88">
        <f>'table 1 &amp; 2'!F68/'Tables 9 &amp; 10'!$C$27</f>
        <v>9.0272166026502801E-2</v>
      </c>
      <c r="I27" s="79">
        <f>'table 1 &amp; 2'!G68/'Tables 9 &amp; 10'!$C$27</f>
        <v>2.0102471480699057E-2</v>
      </c>
      <c r="J27" s="79">
        <f>'table 1 &amp; 2'!H68/'Tables 9 &amp; 10'!$C$27</f>
        <v>0.11037463750720186</v>
      </c>
      <c r="L27" t="s">
        <v>47</v>
      </c>
      <c r="M27" s="357">
        <f t="shared" si="2"/>
        <v>72898</v>
      </c>
      <c r="N27" s="358">
        <f t="shared" si="0"/>
        <v>8</v>
      </c>
      <c r="O27" s="319">
        <f t="shared" si="1"/>
        <v>3.4426007318914945E-2</v>
      </c>
      <c r="AT27" t="s">
        <v>47</v>
      </c>
      <c r="AU27" s="176">
        <v>70724</v>
      </c>
      <c r="AV27" s="88">
        <v>344.50362333639714</v>
      </c>
      <c r="AW27" s="79">
        <v>109.67285490905492</v>
      </c>
      <c r="AX27" s="79">
        <v>234.28310923526666</v>
      </c>
      <c r="AY27" s="79">
        <v>343.95596414432163</v>
      </c>
      <c r="AZ27" s="79">
        <v>0.46075106259756238</v>
      </c>
      <c r="BA27" s="79">
        <v>8.6908129477970705E-2</v>
      </c>
      <c r="BB27" s="79">
        <v>0.54765919207553304</v>
      </c>
      <c r="BD27" s="8" t="s">
        <v>47</v>
      </c>
      <c r="BE27" s="36">
        <v>78013</v>
      </c>
      <c r="BF27" s="37">
        <v>294.31644450998778</v>
      </c>
      <c r="BG27" s="45">
        <v>95.57230413790009</v>
      </c>
      <c r="BH27" s="38">
        <v>198.41836826203323</v>
      </c>
      <c r="BI27" s="38">
        <v>293.99067239993332</v>
      </c>
      <c r="BJ27" s="45">
        <v>0.27840459726917305</v>
      </c>
      <c r="BK27" s="38"/>
      <c r="BL27" s="38">
        <v>4.7367512785305009E-2</v>
      </c>
      <c r="BM27" s="38"/>
      <c r="BN27" s="38">
        <v>0.32577211005447809</v>
      </c>
      <c r="BO27" s="38"/>
    </row>
    <row r="28" spans="2:67" x14ac:dyDescent="0.2">
      <c r="B28" s="52" t="s">
        <v>48</v>
      </c>
      <c r="C28" s="522">
        <v>4185</v>
      </c>
      <c r="D28" s="215">
        <f>'table 1 &amp; 2'!B69/'Tables 9 &amp; 10'!$C$28</f>
        <v>811.62005819498211</v>
      </c>
      <c r="E28" s="91">
        <f>'table 1 &amp; 2'!C69/'Tables 9 &amp; 10'!$C$28</f>
        <v>381.49910663990448</v>
      </c>
      <c r="F28" s="81">
        <f>'table 1 &amp; 2'!D69/'Tables 9 &amp; 10'!$C$28</f>
        <v>430.12095155507762</v>
      </c>
      <c r="G28" s="81">
        <f>'table 1 &amp; 2'!E69/'Tables 9 &amp; 10'!$C$28</f>
        <v>811.62005819498211</v>
      </c>
      <c r="H28" s="91">
        <f>'table 1 &amp; 2'!F69/'Tables 9 &amp; 10'!$C$28</f>
        <v>0</v>
      </c>
      <c r="I28" s="81">
        <f>'table 1 &amp; 2'!G69/'Tables 9 &amp; 10'!$C$28</f>
        <v>0</v>
      </c>
      <c r="J28" s="81">
        <f>'table 1 &amp; 2'!H69/'Tables 9 &amp; 10'!$C$28</f>
        <v>0</v>
      </c>
      <c r="L28" t="s">
        <v>48</v>
      </c>
      <c r="M28" s="357">
        <f t="shared" si="2"/>
        <v>4185</v>
      </c>
      <c r="N28" s="358">
        <f t="shared" si="0"/>
        <v>28</v>
      </c>
      <c r="O28" s="319">
        <f t="shared" si="1"/>
        <v>1.9763620487483749E-3</v>
      </c>
      <c r="AT28" t="s">
        <v>48</v>
      </c>
      <c r="AU28" s="176">
        <v>5052</v>
      </c>
      <c r="AV28" s="88">
        <v>420.1937654792161</v>
      </c>
      <c r="AW28" s="79">
        <v>206.6360210831354</v>
      </c>
      <c r="AX28" s="79">
        <v>213.55774439608072</v>
      </c>
      <c r="AY28" s="79">
        <v>420.1937654792161</v>
      </c>
      <c r="AZ28" s="79">
        <v>0</v>
      </c>
      <c r="BA28" s="79">
        <v>0</v>
      </c>
      <c r="BB28" s="79">
        <v>0</v>
      </c>
      <c r="BD28" s="6" t="s">
        <v>48</v>
      </c>
      <c r="BE28" s="39">
        <v>5440</v>
      </c>
      <c r="BF28" s="34">
        <v>364.48776644393382</v>
      </c>
      <c r="BG28" s="40">
        <v>209.57731036783088</v>
      </c>
      <c r="BH28" s="35">
        <v>154.91045607610295</v>
      </c>
      <c r="BI28" s="35">
        <v>364.48776644393382</v>
      </c>
      <c r="BJ28" s="40">
        <v>0</v>
      </c>
      <c r="BK28" s="35"/>
      <c r="BL28" s="35">
        <v>0</v>
      </c>
      <c r="BM28" s="35"/>
      <c r="BN28" s="35">
        <v>0</v>
      </c>
    </row>
    <row r="29" spans="2:67" x14ac:dyDescent="0.2">
      <c r="B29" t="s">
        <v>49</v>
      </c>
      <c r="C29" s="521">
        <v>67843</v>
      </c>
      <c r="D29" s="216">
        <f>'table 1 &amp; 2'!B70/'Tables 9 &amp; 10'!$C$29</f>
        <v>493.05212902538216</v>
      </c>
      <c r="E29" s="88">
        <f>'table 1 &amp; 2'!C70/'Tables 9 &amp; 10'!$C$29</f>
        <v>312.06690751342069</v>
      </c>
      <c r="F29" s="79">
        <f>'table 1 &amp; 2'!D70/'Tables 9 &amp; 10'!$C$29</f>
        <v>180.98522151196144</v>
      </c>
      <c r="G29" s="79">
        <f>'table 1 &amp; 2'!E70/'Tables 9 &amp; 10'!$C$29</f>
        <v>493.05212902538216</v>
      </c>
      <c r="H29" s="88">
        <f>'table 1 &amp; 2'!F70/'Tables 9 &amp; 10'!$C$29</f>
        <v>0</v>
      </c>
      <c r="I29" s="79">
        <f>'table 1 &amp; 2'!G70/'Tables 9 &amp; 10'!$C$29</f>
        <v>0</v>
      </c>
      <c r="J29" s="79">
        <f>'table 1 &amp; 2'!H70/'Tables 9 &amp; 10'!$C$29</f>
        <v>0</v>
      </c>
      <c r="L29" t="s">
        <v>49</v>
      </c>
      <c r="M29" s="357">
        <f t="shared" si="2"/>
        <v>67843</v>
      </c>
      <c r="N29" s="358">
        <f t="shared" si="0"/>
        <v>9</v>
      </c>
      <c r="O29" s="319">
        <f t="shared" si="1"/>
        <v>3.2038788643545042E-2</v>
      </c>
      <c r="AT29" t="s">
        <v>49</v>
      </c>
      <c r="AU29" s="176">
        <v>62776</v>
      </c>
      <c r="AV29" s="88">
        <v>330.89999860277806</v>
      </c>
      <c r="AW29" s="79">
        <v>213.07352744171331</v>
      </c>
      <c r="AX29" s="79">
        <v>117.82647116106475</v>
      </c>
      <c r="AY29" s="79">
        <v>330.89999860277806</v>
      </c>
      <c r="AZ29" s="79">
        <v>0</v>
      </c>
      <c r="BA29" s="79">
        <v>0</v>
      </c>
      <c r="BB29" s="79">
        <v>0</v>
      </c>
      <c r="BD29" s="8" t="s">
        <v>49</v>
      </c>
      <c r="BE29" s="36">
        <v>63994</v>
      </c>
      <c r="BF29" s="37">
        <v>315.94268084325097</v>
      </c>
      <c r="BG29" s="45">
        <v>202.13003263215302</v>
      </c>
      <c r="BH29" s="38">
        <v>113.81264821109791</v>
      </c>
      <c r="BI29" s="38">
        <v>315.94268084325097</v>
      </c>
      <c r="BJ29" s="45">
        <v>0</v>
      </c>
      <c r="BK29" s="38"/>
      <c r="BL29" s="38">
        <v>0</v>
      </c>
      <c r="BM29" s="38"/>
      <c r="BN29" s="38">
        <v>0</v>
      </c>
      <c r="BO29" s="38"/>
    </row>
    <row r="30" spans="2:67" x14ac:dyDescent="0.2">
      <c r="B30" s="52" t="s">
        <v>50</v>
      </c>
      <c r="C30" s="522">
        <v>8744</v>
      </c>
      <c r="D30" s="215">
        <f>'table 1 &amp; 2'!B71/'Tables 9 &amp; 10'!$C$30</f>
        <v>780.55772945322497</v>
      </c>
      <c r="E30" s="91">
        <f>'table 1 &amp; 2'!C71/'Tables 9 &amp; 10'!$C$30</f>
        <v>291.69788429425887</v>
      </c>
      <c r="F30" s="81">
        <f>'table 1 &amp; 2'!D71/'Tables 9 &amp; 10'!$C$30</f>
        <v>486.30354907021956</v>
      </c>
      <c r="G30" s="81">
        <f>'table 1 &amp; 2'!E71/'Tables 9 &amp; 10'!$C$30</f>
        <v>778.00143336447843</v>
      </c>
      <c r="H30" s="91">
        <f>'table 1 &amp; 2'!F71/'Tables 9 &amp; 10'!$C$30</f>
        <v>2.0712787053979875</v>
      </c>
      <c r="I30" s="81">
        <f>'table 1 &amp; 2'!G71/'Tables 9 &amp; 10'!$C$30</f>
        <v>0.48501738334858191</v>
      </c>
      <c r="J30" s="81">
        <f>'table 1 &amp; 2'!H71/'Tables 9 &amp; 10'!$C$30</f>
        <v>2.5562960887465698</v>
      </c>
      <c r="L30" t="s">
        <v>50</v>
      </c>
      <c r="M30" s="357">
        <f t="shared" si="2"/>
        <v>8744</v>
      </c>
      <c r="N30" s="358">
        <f t="shared" si="0"/>
        <v>26</v>
      </c>
      <c r="O30" s="319">
        <f t="shared" si="1"/>
        <v>4.1293452220443946E-3</v>
      </c>
      <c r="AT30" t="s">
        <v>50</v>
      </c>
      <c r="AU30" s="176">
        <v>8929</v>
      </c>
      <c r="AV30" s="88">
        <v>412.04442727017579</v>
      </c>
      <c r="AW30" s="79">
        <v>167.80493409933922</v>
      </c>
      <c r="AX30" s="79">
        <v>234.34630028077052</v>
      </c>
      <c r="AY30" s="79">
        <v>402.15123438010971</v>
      </c>
      <c r="AZ30" s="79">
        <v>8.3411603048493674</v>
      </c>
      <c r="BA30" s="79">
        <v>1.5520325852167094</v>
      </c>
      <c r="BB30" s="79">
        <v>9.8931928900660768</v>
      </c>
      <c r="BD30" s="6" t="s">
        <v>50</v>
      </c>
      <c r="BE30" s="39">
        <v>10106</v>
      </c>
      <c r="BF30" s="34">
        <v>324.84508150593314</v>
      </c>
      <c r="BG30" s="40">
        <v>128.17109453859092</v>
      </c>
      <c r="BH30" s="35">
        <v>189.87101219879281</v>
      </c>
      <c r="BI30" s="35">
        <v>318.04210673738373</v>
      </c>
      <c r="BJ30" s="40">
        <v>5.8975470741104301</v>
      </c>
      <c r="BK30" s="35"/>
      <c r="BL30" s="35">
        <v>0.90542769443894722</v>
      </c>
      <c r="BM30" s="35"/>
      <c r="BN30" s="35">
        <v>6.8029747685493769</v>
      </c>
    </row>
    <row r="31" spans="2:67" x14ac:dyDescent="0.2">
      <c r="B31" t="s">
        <v>51</v>
      </c>
      <c r="C31" s="521">
        <v>40359</v>
      </c>
      <c r="D31" s="216">
        <f>'table 1 &amp; 2'!B72/'Tables 9 &amp; 10'!$C$31</f>
        <v>879.84806067221677</v>
      </c>
      <c r="E31" s="88">
        <f>'table 1 &amp; 2'!C72/'Tables 9 &amp; 10'!$C$31</f>
        <v>343.74012397547011</v>
      </c>
      <c r="F31" s="79">
        <f>'table 1 &amp; 2'!D72/'Tables 9 &amp; 10'!$C$31</f>
        <v>253.1673217184271</v>
      </c>
      <c r="G31" s="79">
        <f>'table 1 &amp; 2'!E72/'Tables 9 &amp; 10'!$C$31</f>
        <v>596.90744569389722</v>
      </c>
      <c r="H31" s="88">
        <f>'table 1 &amp; 2'!F72/'Tables 9 &amp; 10'!$C$31</f>
        <v>225.01832484050641</v>
      </c>
      <c r="I31" s="79">
        <f>'table 1 &amp; 2'!G72/'Tables 9 &amp; 10'!$C$31</f>
        <v>57.922290137813114</v>
      </c>
      <c r="J31" s="79">
        <f>'table 1 &amp; 2'!H72/'Tables 9 &amp; 10'!$C$31</f>
        <v>282.94061497831956</v>
      </c>
      <c r="L31" t="s">
        <v>51</v>
      </c>
      <c r="M31" s="357">
        <f t="shared" si="2"/>
        <v>40359</v>
      </c>
      <c r="N31" s="358">
        <f t="shared" si="0"/>
        <v>13</v>
      </c>
      <c r="O31" s="319">
        <f t="shared" si="1"/>
        <v>1.9059497234273755E-2</v>
      </c>
      <c r="AT31" t="s">
        <v>51</v>
      </c>
      <c r="AU31" s="176">
        <v>40692</v>
      </c>
      <c r="AV31" s="88">
        <v>1293.2772745753914</v>
      </c>
      <c r="AW31" s="79">
        <v>165.291237578959</v>
      </c>
      <c r="AX31" s="79">
        <v>171.33032916054751</v>
      </c>
      <c r="AY31" s="79">
        <v>336.62156673950653</v>
      </c>
      <c r="AZ31" s="79">
        <v>795.40959833802538</v>
      </c>
      <c r="BA31" s="79">
        <v>161.24610949785949</v>
      </c>
      <c r="BB31" s="79">
        <v>956.65570783588487</v>
      </c>
      <c r="BD31" s="8" t="s">
        <v>51</v>
      </c>
      <c r="BE31" s="36">
        <v>43024</v>
      </c>
      <c r="BF31" s="37">
        <v>1115.422739320315</v>
      </c>
      <c r="BG31" s="45">
        <v>154.16624123647264</v>
      </c>
      <c r="BH31" s="38">
        <v>156.84560144828467</v>
      </c>
      <c r="BI31" s="38">
        <v>311.01184268475731</v>
      </c>
      <c r="BJ31" s="45">
        <v>668.31261609418175</v>
      </c>
      <c r="BK31" s="38"/>
      <c r="BL31" s="38">
        <v>136.09828054137617</v>
      </c>
      <c r="BM31" s="38"/>
      <c r="BN31" s="38">
        <v>804.41089663555783</v>
      </c>
      <c r="BO31" s="38"/>
    </row>
    <row r="32" spans="2:67" x14ac:dyDescent="0.2">
      <c r="B32" s="52" t="s">
        <v>52</v>
      </c>
      <c r="C32" s="522">
        <v>19197</v>
      </c>
      <c r="D32" s="215">
        <f>'table 1 &amp; 2'!B73/'Tables 9 &amp; 10'!$C$32</f>
        <v>758.75620890696473</v>
      </c>
      <c r="E32" s="91">
        <f>'table 1 &amp; 2'!C73/'Tables 9 &amp; 10'!$C$32</f>
        <v>242.16434094592904</v>
      </c>
      <c r="F32" s="81">
        <f>'table 1 &amp; 2'!D73/'Tables 9 &amp; 10'!$C$32</f>
        <v>497.62882315747254</v>
      </c>
      <c r="G32" s="81">
        <f>'table 1 &amp; 2'!E73/'Tables 9 &amp; 10'!$C$32</f>
        <v>739.79316410340164</v>
      </c>
      <c r="H32" s="91">
        <f>'table 1 &amp; 2'!F73/'Tables 9 &amp; 10'!$C$32</f>
        <v>15.351700433088507</v>
      </c>
      <c r="I32" s="81">
        <f>'table 1 &amp; 2'!G73/'Tables 9 &amp; 10'!$C$32</f>
        <v>3.6113443704745536</v>
      </c>
      <c r="J32" s="81">
        <f>'table 1 &amp; 2'!H73/'Tables 9 &amp; 10'!$C$32</f>
        <v>18.963044803563061</v>
      </c>
      <c r="L32" t="s">
        <v>52</v>
      </c>
      <c r="M32" s="357">
        <f t="shared" si="2"/>
        <v>19197</v>
      </c>
      <c r="N32" s="358">
        <f t="shared" si="0"/>
        <v>21</v>
      </c>
      <c r="O32" s="319">
        <f t="shared" si="1"/>
        <v>9.065763978452223E-3</v>
      </c>
      <c r="AT32" t="s">
        <v>52</v>
      </c>
      <c r="AU32" s="176">
        <v>18889</v>
      </c>
      <c r="AV32" s="88">
        <v>352.35833437681555</v>
      </c>
      <c r="AW32" s="79">
        <v>150.1287667350839</v>
      </c>
      <c r="AX32" s="79">
        <v>179.38314955037322</v>
      </c>
      <c r="AY32" s="79">
        <v>329.51191628545712</v>
      </c>
      <c r="AZ32" s="79">
        <v>19.077600023673565</v>
      </c>
      <c r="BA32" s="79">
        <v>3.7688180676848964</v>
      </c>
      <c r="BB32" s="79">
        <v>22.846418091358462</v>
      </c>
      <c r="BD32" s="6" t="s">
        <v>52</v>
      </c>
      <c r="BE32" s="39">
        <v>18771</v>
      </c>
      <c r="BF32" s="34">
        <v>333.54010740283741</v>
      </c>
      <c r="BG32" s="40">
        <v>150.00456023280591</v>
      </c>
      <c r="BH32" s="35">
        <v>170.09234668440683</v>
      </c>
      <c r="BI32" s="35">
        <v>320.09690691721278</v>
      </c>
      <c r="BJ32" s="40">
        <v>10.317190931544404</v>
      </c>
      <c r="BK32" s="35"/>
      <c r="BL32" s="35">
        <v>3.12600955408023</v>
      </c>
      <c r="BM32" s="35"/>
      <c r="BN32" s="35">
        <v>13.443200485624635</v>
      </c>
    </row>
    <row r="33" spans="2:67" x14ac:dyDescent="0.2">
      <c r="B33" t="s">
        <v>53</v>
      </c>
      <c r="C33" s="521">
        <v>121663</v>
      </c>
      <c r="D33" s="216">
        <f>'table 1 &amp; 2'!B74/'Tables 9 &amp; 10'!$C$33</f>
        <v>821.62165353428736</v>
      </c>
      <c r="E33" s="88">
        <f>'table 1 &amp; 2'!C74/'Tables 9 &amp; 10'!$C$33</f>
        <v>326.61639301581414</v>
      </c>
      <c r="F33" s="79">
        <f>'table 1 &amp; 2'!D74/'Tables 9 &amp; 10'!$C$33</f>
        <v>348.85939198056923</v>
      </c>
      <c r="G33" s="79">
        <f>'table 1 &amp; 2'!E74/'Tables 9 &amp; 10'!$C$33</f>
        <v>675.47578499638348</v>
      </c>
      <c r="H33" s="88">
        <f>'table 1 &amp; 2'!F74/'Tables 9 &amp; 10'!$C$33</f>
        <v>117.40184872309575</v>
      </c>
      <c r="I33" s="79">
        <f>'table 1 &amp; 2'!G74/'Tables 9 &amp; 10'!$C$33</f>
        <v>28.744019814808116</v>
      </c>
      <c r="J33" s="79">
        <f>'table 1 &amp; 2'!H74/'Tables 9 &amp; 10'!$C$33</f>
        <v>146.14586853790385</v>
      </c>
      <c r="L33" t="s">
        <v>53</v>
      </c>
      <c r="M33" s="357">
        <f t="shared" si="2"/>
        <v>121663</v>
      </c>
      <c r="N33" s="358">
        <f t="shared" si="0"/>
        <v>5</v>
      </c>
      <c r="O33" s="319">
        <f t="shared" si="1"/>
        <v>5.7455229614545647E-2</v>
      </c>
      <c r="AT33" t="s">
        <v>53</v>
      </c>
      <c r="AU33" s="176">
        <v>122500</v>
      </c>
      <c r="AV33" s="88">
        <v>915.12940371663694</v>
      </c>
      <c r="AW33" s="79">
        <v>198.64484451884084</v>
      </c>
      <c r="AX33" s="79">
        <v>317.71658539773057</v>
      </c>
      <c r="AY33" s="79">
        <v>516.36142991657141</v>
      </c>
      <c r="AZ33" s="79">
        <v>332.15103076220623</v>
      </c>
      <c r="BA33" s="79">
        <v>66.616943037859258</v>
      </c>
      <c r="BB33" s="79">
        <v>398.76797380006553</v>
      </c>
      <c r="BD33" s="8" t="s">
        <v>53</v>
      </c>
      <c r="BE33" s="36">
        <v>126008</v>
      </c>
      <c r="BF33" s="37">
        <v>793.22356797218754</v>
      </c>
      <c r="BG33" s="45">
        <v>173.90022936583392</v>
      </c>
      <c r="BH33" s="38">
        <v>293.03431042642524</v>
      </c>
      <c r="BI33" s="38">
        <v>466.93453979225916</v>
      </c>
      <c r="BJ33" s="45">
        <v>272.36737717961665</v>
      </c>
      <c r="BK33" s="38"/>
      <c r="BL33" s="38">
        <v>53.921651000311648</v>
      </c>
      <c r="BM33" s="38"/>
      <c r="BN33" s="38">
        <v>326.28902817992838</v>
      </c>
      <c r="BO33" s="38"/>
    </row>
    <row r="34" spans="2:67" x14ac:dyDescent="0.2">
      <c r="B34" s="52" t="s">
        <v>54</v>
      </c>
      <c r="C34" s="522">
        <v>27203</v>
      </c>
      <c r="D34" s="215">
        <f>'table 1 &amp; 2'!B75/'Tables 9 &amp; 10'!$C$34</f>
        <v>637.43376640741837</v>
      </c>
      <c r="E34" s="91">
        <f>'table 1 &amp; 2'!C75/'Tables 9 &amp; 10'!$C$34</f>
        <v>383.7924048939455</v>
      </c>
      <c r="F34" s="81">
        <f>'table 1 &amp; 2'!D75/'Tables 9 &amp; 10'!$C$34</f>
        <v>253.64136151347279</v>
      </c>
      <c r="G34" s="81">
        <f>'table 1 &amp; 2'!E75/'Tables 9 &amp; 10'!$C$34</f>
        <v>637.43376640741837</v>
      </c>
      <c r="H34" s="91">
        <f>'table 1 &amp; 2'!F75/'Tables 9 &amp; 10'!$C$34</f>
        <v>0</v>
      </c>
      <c r="I34" s="81">
        <f>'table 1 &amp; 2'!G75/'Tables 9 &amp; 10'!$C$34</f>
        <v>0</v>
      </c>
      <c r="J34" s="81">
        <f>'table 1 &amp; 2'!H75/'Tables 9 &amp; 10'!$C$34</f>
        <v>0</v>
      </c>
      <c r="L34" t="s">
        <v>54</v>
      </c>
      <c r="M34" s="357">
        <f t="shared" si="2"/>
        <v>27203</v>
      </c>
      <c r="N34" s="358">
        <f t="shared" si="0"/>
        <v>16</v>
      </c>
      <c r="O34" s="319">
        <f t="shared" si="1"/>
        <v>1.2846589441362495E-2</v>
      </c>
      <c r="AT34" t="s">
        <v>54</v>
      </c>
      <c r="AU34" s="176">
        <v>28558</v>
      </c>
      <c r="AV34" s="88">
        <v>386.36238069763294</v>
      </c>
      <c r="AW34" s="79">
        <v>227.01340356943766</v>
      </c>
      <c r="AX34" s="79">
        <v>159.34897712819529</v>
      </c>
      <c r="AY34" s="79">
        <v>386.36238069763294</v>
      </c>
      <c r="AZ34" s="79">
        <v>0</v>
      </c>
      <c r="BA34" s="79">
        <v>0</v>
      </c>
      <c r="BB34" s="79">
        <v>0</v>
      </c>
      <c r="BD34" s="6" t="s">
        <v>54</v>
      </c>
      <c r="BE34" s="39">
        <v>30719</v>
      </c>
      <c r="BF34" s="34">
        <v>350.54556188407832</v>
      </c>
      <c r="BG34" s="40">
        <v>208.97099306455289</v>
      </c>
      <c r="BH34" s="35">
        <v>141.57456881952541</v>
      </c>
      <c r="BI34" s="35">
        <v>350.54556188407832</v>
      </c>
      <c r="BJ34" s="40">
        <v>0</v>
      </c>
      <c r="BK34" s="35"/>
      <c r="BL34" s="35">
        <v>0</v>
      </c>
      <c r="BM34" s="35"/>
      <c r="BN34" s="35">
        <v>0</v>
      </c>
    </row>
    <row r="35" spans="2:67" x14ac:dyDescent="0.2">
      <c r="B35" t="s">
        <v>55</v>
      </c>
      <c r="C35" s="521">
        <v>148829</v>
      </c>
      <c r="D35" s="216">
        <f>'table 1 &amp; 2'!B76/'Tables 9 &amp; 10'!$C$35</f>
        <v>1062.1221313153687</v>
      </c>
      <c r="E35" s="88">
        <f>'table 1 &amp; 2'!C76/'Tables 9 &amp; 10'!$C$35</f>
        <v>815.14251901084469</v>
      </c>
      <c r="F35" s="79">
        <f>'table 1 &amp; 2'!D76/'Tables 9 &amp; 10'!$C$35</f>
        <v>225.47415996093503</v>
      </c>
      <c r="G35" s="79">
        <f>'table 1 &amp; 2'!E76/'Tables 9 &amp; 10'!$C$35</f>
        <v>1040.6166789717797</v>
      </c>
      <c r="H35" s="88">
        <f>'table 1 &amp; 2'!F76/'Tables 9 &amp; 10'!$C$35</f>
        <v>17.145194569277493</v>
      </c>
      <c r="I35" s="79">
        <f>'table 1 &amp; 2'!G76/'Tables 9 &amp; 10'!$C$35</f>
        <v>4.3602577743114583</v>
      </c>
      <c r="J35" s="79">
        <f>'table 1 &amp; 2'!H76/'Tables 9 &amp; 10'!$C$35</f>
        <v>21.505452343588949</v>
      </c>
      <c r="L35" t="s">
        <v>55</v>
      </c>
      <c r="M35" s="357">
        <f t="shared" si="2"/>
        <v>148829</v>
      </c>
      <c r="N35" s="358">
        <f t="shared" si="0"/>
        <v>4</v>
      </c>
      <c r="O35" s="319">
        <f t="shared" si="1"/>
        <v>7.0284345843051821E-2</v>
      </c>
      <c r="AT35" t="s">
        <v>55</v>
      </c>
      <c r="AU35" s="176">
        <v>122298</v>
      </c>
      <c r="AV35" s="88">
        <v>821.96292549877342</v>
      </c>
      <c r="AW35" s="79">
        <v>605.52129221244013</v>
      </c>
      <c r="AX35" s="79">
        <v>214.36792043921403</v>
      </c>
      <c r="AY35" s="79">
        <v>819.88921265165413</v>
      </c>
      <c r="AZ35" s="79">
        <v>1.7133792731498469</v>
      </c>
      <c r="BA35" s="79">
        <v>0.36033357396932075</v>
      </c>
      <c r="BB35" s="79">
        <v>2.0737128471191677</v>
      </c>
      <c r="BD35" s="8" t="s">
        <v>55</v>
      </c>
      <c r="BE35" s="36">
        <v>107104</v>
      </c>
      <c r="BF35" s="37">
        <v>764.94985091544572</v>
      </c>
      <c r="BG35" s="45">
        <v>548.00136399102735</v>
      </c>
      <c r="BH35" s="38">
        <v>215.25792269680872</v>
      </c>
      <c r="BI35" s="38">
        <v>763.25928668783604</v>
      </c>
      <c r="BJ35" s="45">
        <v>1.4020882493718256</v>
      </c>
      <c r="BK35" s="38"/>
      <c r="BL35" s="38">
        <v>0.28847597823797427</v>
      </c>
      <c r="BM35" s="38"/>
      <c r="BN35" s="38">
        <v>1.6905642276097999</v>
      </c>
      <c r="BO35" s="38"/>
    </row>
    <row r="36" spans="2:67" x14ac:dyDescent="0.2">
      <c r="B36" s="52" t="s">
        <v>56</v>
      </c>
      <c r="C36" s="522">
        <v>154823</v>
      </c>
      <c r="D36" s="215">
        <f>'table 1 &amp; 2'!B77/'Tables 9 &amp; 10'!$C$36</f>
        <v>1380.5562054064837</v>
      </c>
      <c r="E36" s="91">
        <f>'table 1 &amp; 2'!C77/'Tables 9 &amp; 10'!$C$36</f>
        <v>1046.5783818280681</v>
      </c>
      <c r="F36" s="81">
        <f>'table 1 &amp; 2'!D77/'Tables 9 &amp; 10'!$C$36</f>
        <v>333.97782357841538</v>
      </c>
      <c r="G36" s="81">
        <f>'table 1 &amp; 2'!E77/'Tables 9 &amp; 10'!$C$36</f>
        <v>1380.5562054064837</v>
      </c>
      <c r="H36" s="91">
        <f>'table 1 &amp; 2'!F77/'Tables 9 &amp; 10'!$C$36</f>
        <v>0</v>
      </c>
      <c r="I36" s="81">
        <f>'table 1 &amp; 2'!G77/'Tables 9 &amp; 10'!$C$36</f>
        <v>0</v>
      </c>
      <c r="J36" s="81">
        <f>'table 1 &amp; 2'!H77/'Tables 9 &amp; 10'!$C$36</f>
        <v>0</v>
      </c>
      <c r="L36" t="s">
        <v>56</v>
      </c>
      <c r="M36" s="357">
        <f t="shared" si="2"/>
        <v>154823</v>
      </c>
      <c r="N36" s="358">
        <f t="shared" si="0"/>
        <v>3</v>
      </c>
      <c r="O36" s="319">
        <f t="shared" si="1"/>
        <v>7.3115006325775306E-2</v>
      </c>
      <c r="AT36" t="s">
        <v>56</v>
      </c>
      <c r="AU36" s="176">
        <v>143937</v>
      </c>
      <c r="AV36" s="88">
        <v>971.91302791644978</v>
      </c>
      <c r="AW36" s="79">
        <v>654.12128290982866</v>
      </c>
      <c r="AX36" s="79">
        <v>317.79174500662106</v>
      </c>
      <c r="AY36" s="79">
        <v>971.91302791644978</v>
      </c>
      <c r="AZ36" s="79">
        <v>0</v>
      </c>
      <c r="BA36" s="79">
        <v>0</v>
      </c>
      <c r="BB36" s="79">
        <v>0</v>
      </c>
      <c r="BD36" s="6" t="s">
        <v>56</v>
      </c>
      <c r="BE36" s="39">
        <v>143306</v>
      </c>
      <c r="BF36" s="34">
        <v>950.27413177998119</v>
      </c>
      <c r="BG36" s="40">
        <v>622.27353335750774</v>
      </c>
      <c r="BH36" s="35">
        <v>328.00059842247356</v>
      </c>
      <c r="BI36" s="35">
        <v>950.27413177998119</v>
      </c>
      <c r="BJ36" s="40">
        <v>0</v>
      </c>
      <c r="BK36" s="35"/>
      <c r="BL36" s="35">
        <v>0</v>
      </c>
      <c r="BM36" s="35"/>
      <c r="BN36" s="35">
        <v>0</v>
      </c>
    </row>
    <row r="37" spans="2:67" x14ac:dyDescent="0.2">
      <c r="B37" t="s">
        <v>57</v>
      </c>
      <c r="C37" s="521">
        <v>11574</v>
      </c>
      <c r="D37" s="216">
        <f>'table 1 &amp; 2'!B78/'Tables 9 &amp; 10'!$C$37</f>
        <v>736.35405724278564</v>
      </c>
      <c r="E37" s="88">
        <f>'table 1 &amp; 2'!C78/'Tables 9 &amp; 10'!$C$37</f>
        <v>422.2431658183861</v>
      </c>
      <c r="F37" s="79">
        <f>'table 1 &amp; 2'!D78/'Tables 9 &amp; 10'!$C$37</f>
        <v>314.11089142439954</v>
      </c>
      <c r="G37" s="79">
        <f>'table 1 &amp; 2'!E78/'Tables 9 &amp; 10'!$C$37</f>
        <v>736.35405724278564</v>
      </c>
      <c r="H37" s="88">
        <f>'table 1 &amp; 2'!F78/'Tables 9 &amp; 10'!$C$37</f>
        <v>0</v>
      </c>
      <c r="I37" s="79">
        <f>'table 1 &amp; 2'!G78/'Tables 9 &amp; 10'!$C$37</f>
        <v>0</v>
      </c>
      <c r="J37" s="79">
        <f>'table 1 &amp; 2'!H78/'Tables 9 &amp; 10'!$C$37</f>
        <v>0</v>
      </c>
      <c r="L37" t="s">
        <v>57</v>
      </c>
      <c r="M37" s="357">
        <f t="shared" si="2"/>
        <v>11574</v>
      </c>
      <c r="N37" s="358">
        <f t="shared" si="0"/>
        <v>25</v>
      </c>
      <c r="O37" s="319">
        <f t="shared" si="1"/>
        <v>5.4658098810546453E-3</v>
      </c>
      <c r="AT37" t="s">
        <v>57</v>
      </c>
      <c r="AU37" s="176">
        <v>12437</v>
      </c>
      <c r="AV37" s="88">
        <v>478.60597934333032</v>
      </c>
      <c r="AW37" s="79">
        <v>267.82150710235589</v>
      </c>
      <c r="AX37" s="79">
        <v>210.78447224097451</v>
      </c>
      <c r="AY37" s="79">
        <v>478.60597934333032</v>
      </c>
      <c r="AZ37" s="79">
        <v>0</v>
      </c>
      <c r="BA37" s="79">
        <v>0</v>
      </c>
      <c r="BB37" s="79">
        <v>0</v>
      </c>
      <c r="BD37" s="8" t="s">
        <v>57</v>
      </c>
      <c r="BE37" s="36">
        <v>13657</v>
      </c>
      <c r="BF37" s="37">
        <v>399.82007505396496</v>
      </c>
      <c r="BG37" s="45">
        <v>224.82767588196529</v>
      </c>
      <c r="BH37" s="38">
        <v>174.99239917199969</v>
      </c>
      <c r="BI37" s="38">
        <v>399.82007505396496</v>
      </c>
      <c r="BJ37" s="45">
        <v>0</v>
      </c>
      <c r="BK37" s="38"/>
      <c r="BL37" s="38">
        <v>0</v>
      </c>
      <c r="BM37" s="38"/>
      <c r="BN37" s="38">
        <v>0</v>
      </c>
      <c r="BO37" s="38"/>
    </row>
    <row r="38" spans="2:67" x14ac:dyDescent="0.2">
      <c r="B38" s="52" t="s">
        <v>58</v>
      </c>
      <c r="C38" s="522">
        <v>16602</v>
      </c>
      <c r="D38" s="215">
        <f>'table 1 &amp; 2'!B79/'Tables 9 &amp; 10'!$C$38</f>
        <v>651.1499199766896</v>
      </c>
      <c r="E38" s="91">
        <f>'table 1 &amp; 2'!C79/'Tables 9 &amp; 10'!$C$38</f>
        <v>337.92505177695466</v>
      </c>
      <c r="F38" s="81">
        <f>'table 1 &amp; 2'!D79/'Tables 9 &amp; 10'!$C$38</f>
        <v>313.22486819973494</v>
      </c>
      <c r="G38" s="81">
        <f>'table 1 &amp; 2'!E79/'Tables 9 &amp; 10'!$C$38</f>
        <v>651.1499199766896</v>
      </c>
      <c r="H38" s="91">
        <f>'table 1 &amp; 2'!F79/'Tables 9 &amp; 10'!$C$38</f>
        <v>0</v>
      </c>
      <c r="I38" s="81">
        <f>'table 1 &amp; 2'!G79/'Tables 9 &amp; 10'!$C$38</f>
        <v>0</v>
      </c>
      <c r="J38" s="81">
        <f>'table 1 &amp; 2'!H79/'Tables 9 &amp; 10'!$C$38</f>
        <v>0</v>
      </c>
      <c r="L38" t="s">
        <v>58</v>
      </c>
      <c r="M38" s="357">
        <f t="shared" si="2"/>
        <v>16602</v>
      </c>
      <c r="N38" s="358">
        <f t="shared" si="0"/>
        <v>22</v>
      </c>
      <c r="O38" s="319">
        <f t="shared" si="1"/>
        <v>7.8402778335293962E-3</v>
      </c>
      <c r="AT38" t="s">
        <v>58</v>
      </c>
      <c r="AU38" s="176">
        <v>18180</v>
      </c>
      <c r="AV38" s="88">
        <v>384.58049137068201</v>
      </c>
      <c r="AW38" s="79">
        <v>182.45634543657866</v>
      </c>
      <c r="AX38" s="79">
        <v>202.12414593410341</v>
      </c>
      <c r="AY38" s="79">
        <v>384.58049137068201</v>
      </c>
      <c r="AZ38" s="79">
        <v>0</v>
      </c>
      <c r="BA38" s="79">
        <v>0</v>
      </c>
      <c r="BB38" s="79">
        <v>0</v>
      </c>
      <c r="BD38" s="6" t="s">
        <v>58</v>
      </c>
      <c r="BE38" s="39">
        <v>18513</v>
      </c>
      <c r="BF38" s="34">
        <v>348.83695627029653</v>
      </c>
      <c r="BG38" s="40">
        <v>169.09208859223247</v>
      </c>
      <c r="BH38" s="35">
        <v>179.74486767806405</v>
      </c>
      <c r="BI38" s="35">
        <v>348.83695627029653</v>
      </c>
      <c r="BJ38" s="40">
        <v>0</v>
      </c>
      <c r="BK38" s="35"/>
      <c r="BL38" s="35">
        <v>0</v>
      </c>
      <c r="BM38" s="35"/>
      <c r="BN38" s="35">
        <v>0</v>
      </c>
    </row>
    <row r="39" spans="2:67" x14ac:dyDescent="0.2">
      <c r="B39" t="s">
        <v>59</v>
      </c>
      <c r="C39" s="521">
        <v>34488</v>
      </c>
      <c r="D39" s="216">
        <f>'table 1 &amp; 2'!B80/'Tables 9 &amp; 10'!$C$39</f>
        <v>1012.1176966381929</v>
      </c>
      <c r="E39" s="88">
        <f>'table 1 &amp; 2'!C80/'Tables 9 &amp; 10'!$C$39</f>
        <v>563.41315830575854</v>
      </c>
      <c r="F39" s="79">
        <f>'table 1 &amp; 2'!D80/'Tables 9 &amp; 10'!$C$39</f>
        <v>448.70453833243442</v>
      </c>
      <c r="G39" s="79">
        <f>'table 1 &amp; 2'!E80/'Tables 9 &amp; 10'!$C$39</f>
        <v>1012.1176966381929</v>
      </c>
      <c r="H39" s="88">
        <f>'table 1 &amp; 2'!F80/'Tables 9 &amp; 10'!$C$39</f>
        <v>0</v>
      </c>
      <c r="I39" s="79">
        <f>'table 1 &amp; 2'!G80/'Tables 9 &amp; 10'!$C$39</f>
        <v>0</v>
      </c>
      <c r="J39" s="79">
        <f>'table 1 &amp; 2'!H80/'Tables 9 &amp; 10'!$C$39</f>
        <v>0</v>
      </c>
      <c r="L39" t="s">
        <v>59</v>
      </c>
      <c r="M39" s="357">
        <f t="shared" si="2"/>
        <v>34488</v>
      </c>
      <c r="N39" s="358">
        <f t="shared" si="0"/>
        <v>14</v>
      </c>
      <c r="O39" s="319">
        <f t="shared" si="1"/>
        <v>1.6286923378072631E-2</v>
      </c>
      <c r="AT39" t="s">
        <v>59</v>
      </c>
      <c r="AU39" s="176">
        <v>31546</v>
      </c>
      <c r="AV39" s="88">
        <v>613.007355243137</v>
      </c>
      <c r="AW39" s="79">
        <v>325.39702816946675</v>
      </c>
      <c r="AX39" s="79">
        <v>287.61032707367019</v>
      </c>
      <c r="AY39" s="79">
        <v>613.007355243137</v>
      </c>
      <c r="AZ39" s="79">
        <v>0</v>
      </c>
      <c r="BA39" s="79">
        <v>0</v>
      </c>
      <c r="BB39" s="79">
        <v>0</v>
      </c>
      <c r="BD39" s="8" t="s">
        <v>59</v>
      </c>
      <c r="BE39" s="36">
        <v>31931</v>
      </c>
      <c r="BF39" s="37">
        <v>546.60620910187595</v>
      </c>
      <c r="BG39" s="45">
        <v>293.53984622714597</v>
      </c>
      <c r="BH39" s="38">
        <v>253.06636287472995</v>
      </c>
      <c r="BI39" s="38">
        <v>546.60620910187595</v>
      </c>
      <c r="BJ39" s="45">
        <v>0</v>
      </c>
      <c r="BK39" s="38"/>
      <c r="BL39" s="38">
        <v>0</v>
      </c>
      <c r="BM39" s="38"/>
      <c r="BN39" s="38">
        <v>0</v>
      </c>
      <c r="BO39" s="38"/>
    </row>
    <row r="40" spans="2:67" x14ac:dyDescent="0.2">
      <c r="B40" s="52" t="s">
        <v>60</v>
      </c>
      <c r="C40" s="522">
        <v>15045</v>
      </c>
      <c r="D40" s="215">
        <f>'table 1 &amp; 2'!B81/'Tables 9 &amp; 10'!$C$40</f>
        <v>759.24431690322365</v>
      </c>
      <c r="E40" s="91">
        <f>'table 1 &amp; 2'!C81/'Tables 9 &amp; 10'!$C$40</f>
        <v>304.94154900491861</v>
      </c>
      <c r="F40" s="81">
        <f>'table 1 &amp; 2'!D81/'Tables 9 &amp; 10'!$C$40</f>
        <v>454.30276789830509</v>
      </c>
      <c r="G40" s="81">
        <f>'table 1 &amp; 2'!E81/'Tables 9 &amp; 10'!$C$40</f>
        <v>759.24431690322365</v>
      </c>
      <c r="H40" s="91">
        <f>'table 1 &amp; 2'!F81/'Tables 9 &amp; 10'!$C$40</f>
        <v>0</v>
      </c>
      <c r="I40" s="81">
        <f>'table 1 &amp; 2'!G81/'Tables 9 &amp; 10'!$C$40</f>
        <v>0</v>
      </c>
      <c r="J40" s="81">
        <f>'table 1 &amp; 2'!H81/'Tables 9 &amp; 10'!$C$40</f>
        <v>0</v>
      </c>
      <c r="L40" t="s">
        <v>60</v>
      </c>
      <c r="M40" s="357">
        <f t="shared" si="2"/>
        <v>15045</v>
      </c>
      <c r="N40" s="358">
        <f t="shared" si="0"/>
        <v>23</v>
      </c>
      <c r="O40" s="319">
        <f t="shared" si="1"/>
        <v>7.1049861465756993E-3</v>
      </c>
      <c r="AT40" t="s">
        <v>60</v>
      </c>
      <c r="AU40" s="176">
        <v>16269</v>
      </c>
      <c r="AV40" s="88">
        <v>473.84358114868769</v>
      </c>
      <c r="AW40" s="79">
        <v>208.71997107855432</v>
      </c>
      <c r="AX40" s="79">
        <v>265.1236100701334</v>
      </c>
      <c r="AY40" s="79">
        <v>473.84358114868769</v>
      </c>
      <c r="AZ40" s="79">
        <v>0</v>
      </c>
      <c r="BA40" s="79">
        <v>0</v>
      </c>
      <c r="BB40" s="79">
        <v>0</v>
      </c>
      <c r="BD40" s="6" t="s">
        <v>60</v>
      </c>
      <c r="BE40" s="39">
        <v>18282</v>
      </c>
      <c r="BF40" s="34">
        <v>393.07822185313427</v>
      </c>
      <c r="BG40" s="40">
        <v>177.2708674515917</v>
      </c>
      <c r="BH40" s="35">
        <v>215.80735440154251</v>
      </c>
      <c r="BI40" s="35">
        <v>393.07822185313427</v>
      </c>
      <c r="BJ40" s="40">
        <v>0</v>
      </c>
      <c r="BK40" s="35"/>
      <c r="BL40" s="35">
        <v>0</v>
      </c>
      <c r="BM40" s="35"/>
      <c r="BN40" s="35">
        <v>0</v>
      </c>
    </row>
    <row r="41" spans="2:67" x14ac:dyDescent="0.2">
      <c r="B41" t="s">
        <v>61</v>
      </c>
      <c r="C41" s="521">
        <v>4083</v>
      </c>
      <c r="D41" s="216">
        <f>'table 1 &amp; 2'!B82/'Tables 9 &amp; 10'!$C$41</f>
        <v>1020.5298424991428</v>
      </c>
      <c r="E41" s="88">
        <f>'table 1 &amp; 2'!C82/'Tables 9 &amp; 10'!$C$41</f>
        <v>246.52223992676952</v>
      </c>
      <c r="F41" s="79">
        <f>'table 1 &amp; 2'!D82/'Tables 9 &amp; 10'!$C$41</f>
        <v>730.3478919257899</v>
      </c>
      <c r="G41" s="79">
        <f>'table 1 &amp; 2'!E82/'Tables 9 &amp; 10'!$C$41</f>
        <v>976.87013185255944</v>
      </c>
      <c r="H41" s="88">
        <f>'table 1 &amp; 2'!F82/'Tables 9 &amp; 10'!$C$41</f>
        <v>35.487009184423222</v>
      </c>
      <c r="I41" s="79">
        <f>'table 1 &amp; 2'!G82/'Tables 9 &amp; 10'!$C$41</f>
        <v>8.1727014621601768</v>
      </c>
      <c r="J41" s="79">
        <f>'table 1 &amp; 2'!H82/'Tables 9 &amp; 10'!$C$41</f>
        <v>43.659710646583392</v>
      </c>
      <c r="L41" t="s">
        <v>61</v>
      </c>
      <c r="M41" s="357">
        <f t="shared" si="2"/>
        <v>4083</v>
      </c>
      <c r="N41" s="358">
        <f t="shared" si="0"/>
        <v>30</v>
      </c>
      <c r="O41" s="319">
        <f t="shared" si="1"/>
        <v>1.9281926511444719E-3</v>
      </c>
      <c r="AT41" t="s">
        <v>61</v>
      </c>
      <c r="AU41" s="176">
        <v>3777</v>
      </c>
      <c r="AV41" s="88">
        <v>788.27263535001316</v>
      </c>
      <c r="AW41" s="79">
        <v>151.437810923749</v>
      </c>
      <c r="AX41" s="79">
        <v>502.9508698588827</v>
      </c>
      <c r="AY41" s="79">
        <v>654.3886807826317</v>
      </c>
      <c r="AZ41" s="79">
        <v>112.93955661900979</v>
      </c>
      <c r="BA41" s="79">
        <v>20.944397948371726</v>
      </c>
      <c r="BB41" s="79">
        <v>133.88395456738152</v>
      </c>
      <c r="BD41" s="8" t="s">
        <v>61</v>
      </c>
      <c r="BE41" s="36">
        <v>4315</v>
      </c>
      <c r="BF41" s="37">
        <v>561.25537524971026</v>
      </c>
      <c r="BG41" s="45">
        <v>122.20839457798378</v>
      </c>
      <c r="BH41" s="38">
        <v>335.65492245028963</v>
      </c>
      <c r="BI41" s="38">
        <v>457.8633170282734</v>
      </c>
      <c r="BJ41" s="45">
        <v>89.651557711587486</v>
      </c>
      <c r="BK41" s="38"/>
      <c r="BL41" s="38">
        <v>13.740500509849362</v>
      </c>
      <c r="BM41" s="38"/>
      <c r="BN41" s="38">
        <v>103.39205822143686</v>
      </c>
      <c r="BO41" s="38"/>
    </row>
    <row r="42" spans="2:67" x14ac:dyDescent="0.2">
      <c r="B42" s="52" t="s">
        <v>62</v>
      </c>
      <c r="C42" s="524">
        <v>76205</v>
      </c>
      <c r="D42" s="215">
        <f>'table 1 &amp; 2'!B83/'Tables 9 &amp; 10'!$C$42</f>
        <v>761.84266089948164</v>
      </c>
      <c r="E42" s="91">
        <f>'table 1 &amp; 2'!C83/'Tables 9 &amp; 10'!$C$42</f>
        <v>510.63093343461713</v>
      </c>
      <c r="F42" s="213">
        <f>'table 1 &amp; 2'!D83/'Tables 9 &amp; 10'!$C$42</f>
        <v>251.21172746486448</v>
      </c>
      <c r="G42" s="213">
        <f>'table 1 &amp; 2'!E83/'Tables 9 &amp; 10'!$C$42</f>
        <v>761.84266089948164</v>
      </c>
      <c r="H42" s="91">
        <f>'table 1 &amp; 2'!F83/'Tables 9 &amp; 10'!$C$42</f>
        <v>0</v>
      </c>
      <c r="I42" s="213">
        <f>'table 1 &amp; 2'!G83/'Tables 9 &amp; 10'!$C$42</f>
        <v>0</v>
      </c>
      <c r="J42" s="213">
        <f>'table 1 &amp; 2'!H83/'Tables 9 &amp; 10'!$C$42</f>
        <v>0</v>
      </c>
      <c r="L42" s="406" t="s">
        <v>62</v>
      </c>
      <c r="M42" s="407">
        <f t="shared" si="2"/>
        <v>76205</v>
      </c>
      <c r="N42" s="408">
        <f t="shared" si="0"/>
        <v>6</v>
      </c>
      <c r="O42" s="409">
        <f t="shared" si="1"/>
        <v>3.598773474907286E-2</v>
      </c>
      <c r="AT42" t="s">
        <v>62</v>
      </c>
      <c r="AU42" s="201">
        <v>72207</v>
      </c>
      <c r="AV42" s="88">
        <v>487.13650477222433</v>
      </c>
      <c r="AW42" s="202">
        <v>324.43120309627875</v>
      </c>
      <c r="AX42" s="202">
        <v>162.70530167594558</v>
      </c>
      <c r="AY42" s="202">
        <v>487.13650477222433</v>
      </c>
      <c r="AZ42" s="202">
        <v>0</v>
      </c>
      <c r="BA42" s="202">
        <v>0</v>
      </c>
      <c r="BB42" s="202">
        <v>0</v>
      </c>
      <c r="BD42" s="6" t="s">
        <v>62</v>
      </c>
      <c r="BE42" s="39">
        <v>71459</v>
      </c>
      <c r="BF42" s="40">
        <v>452.96575697250171</v>
      </c>
      <c r="BG42" s="40">
        <v>305.53405677767671</v>
      </c>
      <c r="BH42" s="35">
        <v>147.431700194825</v>
      </c>
      <c r="BI42" s="35">
        <v>452.96575697250171</v>
      </c>
      <c r="BJ42" s="40">
        <v>0</v>
      </c>
      <c r="BK42" s="35"/>
      <c r="BL42" s="35">
        <v>0</v>
      </c>
      <c r="BM42" s="35"/>
      <c r="BN42" s="35">
        <v>0</v>
      </c>
    </row>
    <row r="43" spans="2:67" ht="13.5" thickBot="1" x14ac:dyDescent="0.25">
      <c r="B43" s="23" t="s">
        <v>397</v>
      </c>
      <c r="C43" s="525">
        <f>SUM(C10:C42)</f>
        <v>2117527</v>
      </c>
      <c r="D43" s="337">
        <f>'table 1 &amp; 2'!B84/'Tables 9 &amp; 10'!$C$43</f>
        <v>1217.9943828394528</v>
      </c>
      <c r="E43" s="212">
        <f>'table 1 &amp; 2'!C84/'Tables 9 &amp; 10'!$C$43</f>
        <v>640.2260902729081</v>
      </c>
      <c r="F43" s="205">
        <f>'table 1 &amp; 2'!D84/'Tables 9 &amp; 10'!$C$43</f>
        <v>326.03397160142561</v>
      </c>
      <c r="G43" s="205">
        <f>'table 1 &amp; 2'!E84/'Tables 9 &amp; 10'!$C$43</f>
        <v>966.26006187433359</v>
      </c>
      <c r="H43" s="212">
        <f>'table 1 &amp; 2'!F84/'Tables 9 &amp; 10'!$C$43</f>
        <v>202.2907313000151</v>
      </c>
      <c r="I43" s="205">
        <f>'table 1 &amp; 2'!G84/'Tables 9 &amp; 10'!$C$43</f>
        <v>49.443589665104163</v>
      </c>
      <c r="J43" s="205">
        <f>'table 1 &amp; 2'!H84/'Tables 9 &amp; 10'!$C$43</f>
        <v>251.7343209651192</v>
      </c>
      <c r="L43" s="410" t="s">
        <v>8</v>
      </c>
      <c r="M43" s="411">
        <f>C43</f>
        <v>2117527</v>
      </c>
      <c r="N43" s="412"/>
      <c r="O43" s="413">
        <f>SUM(O10:O42)</f>
        <v>1.0000000000000002</v>
      </c>
      <c r="AT43" s="78" t="s">
        <v>397</v>
      </c>
      <c r="AU43" s="203">
        <v>1984356</v>
      </c>
      <c r="AV43" s="204">
        <v>764.52113160472038</v>
      </c>
      <c r="AW43" s="205">
        <v>412.31758749286041</v>
      </c>
      <c r="AX43" s="205">
        <v>244.22312029608756</v>
      </c>
      <c r="AY43" s="205">
        <v>656.54070778894834</v>
      </c>
      <c r="AZ43" s="205">
        <v>90.437117535066847</v>
      </c>
      <c r="BA43" s="205">
        <v>17.543306280705121</v>
      </c>
      <c r="BB43" s="205">
        <v>107.98042381577197</v>
      </c>
      <c r="BD43" s="23" t="s">
        <v>68</v>
      </c>
      <c r="BE43" s="41">
        <v>1969292</v>
      </c>
      <c r="BF43" s="42">
        <v>708.02421919937342</v>
      </c>
      <c r="BG43" s="42">
        <v>385.71828053197186</v>
      </c>
      <c r="BH43" s="43">
        <v>234.96078920093819</v>
      </c>
      <c r="BI43" s="43">
        <v>620.67906973291031</v>
      </c>
      <c r="BJ43" s="42">
        <v>73.15929394246433</v>
      </c>
      <c r="BK43" s="43"/>
      <c r="BL43" s="43">
        <v>14.185855523998836</v>
      </c>
      <c r="BM43" s="43"/>
      <c r="BN43" s="43">
        <v>87.34514946646317</v>
      </c>
      <c r="BO43" s="47"/>
    </row>
    <row r="44" spans="2:67" ht="15.75" customHeight="1" x14ac:dyDescent="0.2">
      <c r="B44" s="209" t="s">
        <v>565</v>
      </c>
      <c r="C44" s="175"/>
      <c r="D44" s="175"/>
      <c r="E44" s="175"/>
      <c r="F44" s="175"/>
      <c r="G44" s="175"/>
      <c r="H44" s="175"/>
      <c r="I44" s="175"/>
      <c r="J44" s="175"/>
      <c r="AT44" s="6" t="s">
        <v>398</v>
      </c>
      <c r="AU44" s="206"/>
      <c r="AV44" s="202"/>
      <c r="AW44" s="202"/>
      <c r="AX44" s="202"/>
      <c r="AY44" s="202"/>
      <c r="AZ44" s="202"/>
      <c r="BA44" s="202"/>
      <c r="BB44" s="202"/>
    </row>
    <row r="45" spans="2:67" ht="14.25" customHeight="1" x14ac:dyDescent="0.2">
      <c r="B45" s="381" t="s">
        <v>564</v>
      </c>
      <c r="C45" s="174"/>
      <c r="D45" s="174"/>
      <c r="E45" s="174"/>
      <c r="F45" s="174"/>
      <c r="G45" s="174"/>
      <c r="H45" s="174"/>
      <c r="I45" s="174"/>
      <c r="J45" s="174"/>
      <c r="AT45" t="s">
        <v>399</v>
      </c>
    </row>
    <row r="46" spans="2:67" ht="14.25" x14ac:dyDescent="0.2">
      <c r="B46" s="67" t="s">
        <v>403</v>
      </c>
      <c r="C46" s="6"/>
      <c r="D46" s="6"/>
      <c r="E46" s="6"/>
      <c r="F46" s="6"/>
      <c r="G46" s="6"/>
      <c r="H46" s="6"/>
      <c r="I46" s="6"/>
      <c r="J46" s="6"/>
      <c r="AT46" s="67" t="s">
        <v>402</v>
      </c>
    </row>
    <row r="47" spans="2:67" ht="14.25" x14ac:dyDescent="0.2">
      <c r="B47" s="335" t="s">
        <v>554</v>
      </c>
      <c r="D47" s="67" t="s">
        <v>430</v>
      </c>
      <c r="AT47" t="s">
        <v>400</v>
      </c>
    </row>
    <row r="48" spans="2:67" x14ac:dyDescent="0.2">
      <c r="G48" s="48"/>
    </row>
    <row r="49" spans="2:24" ht="15.75" x14ac:dyDescent="0.25">
      <c r="B49" s="3" t="s">
        <v>317</v>
      </c>
      <c r="L49" s="585" t="s">
        <v>568</v>
      </c>
      <c r="M49" s="584"/>
      <c r="N49" s="584"/>
      <c r="O49" s="584"/>
      <c r="P49" s="584"/>
      <c r="Q49" s="584"/>
      <c r="R49" s="584"/>
      <c r="S49" s="584"/>
      <c r="T49" s="584"/>
      <c r="U49" s="584"/>
      <c r="V49" s="584"/>
      <c r="W49" s="584"/>
    </row>
    <row r="50" spans="2:24" ht="15.75" x14ac:dyDescent="0.25">
      <c r="B50" s="3" t="s">
        <v>389</v>
      </c>
      <c r="L50" s="332" t="s">
        <v>569</v>
      </c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</row>
    <row r="51" spans="2:24" ht="15.75" x14ac:dyDescent="0.25">
      <c r="B51" s="3" t="s">
        <v>27</v>
      </c>
      <c r="C51" s="3" t="str">
        <f>D2</f>
        <v>2022 Tax Year</v>
      </c>
      <c r="D51" s="7"/>
      <c r="E51" s="7"/>
      <c r="F51" s="7"/>
    </row>
    <row r="52" spans="2:24" x14ac:dyDescent="0.2">
      <c r="C52" s="46" t="s">
        <v>385</v>
      </c>
      <c r="E52" s="177" t="s">
        <v>385</v>
      </c>
    </row>
    <row r="53" spans="2:24" ht="13.5" thickBot="1" x14ac:dyDescent="0.25">
      <c r="B53" s="47" t="s">
        <v>27</v>
      </c>
      <c r="C53" s="68" t="s">
        <v>386</v>
      </c>
      <c r="D53" s="47" t="s">
        <v>27</v>
      </c>
      <c r="E53" s="178" t="s">
        <v>386</v>
      </c>
      <c r="L53" s="7" t="s">
        <v>474</v>
      </c>
      <c r="M53" s="21"/>
      <c r="N53" s="351"/>
    </row>
    <row r="54" spans="2:24" x14ac:dyDescent="0.2">
      <c r="B54" s="52" t="s">
        <v>31</v>
      </c>
      <c r="C54" s="217">
        <v>0.97050000000000003</v>
      </c>
      <c r="D54" s="52" t="s">
        <v>47</v>
      </c>
      <c r="E54" s="318">
        <v>0.98099999999999998</v>
      </c>
      <c r="L54" s="352"/>
      <c r="M54" s="359"/>
      <c r="N54" s="360"/>
      <c r="O54" s="361" t="s">
        <v>334</v>
      </c>
      <c r="P54" s="352"/>
      <c r="Q54" s="359"/>
      <c r="R54" s="360"/>
      <c r="S54" s="361" t="s">
        <v>334</v>
      </c>
    </row>
    <row r="55" spans="2:24" x14ac:dyDescent="0.2">
      <c r="B55" t="s">
        <v>32</v>
      </c>
      <c r="C55" s="218">
        <v>0.96430000000000005</v>
      </c>
      <c r="D55" t="s">
        <v>48</v>
      </c>
      <c r="E55" s="319">
        <v>0.9536</v>
      </c>
      <c r="L55" s="362" t="s">
        <v>27</v>
      </c>
      <c r="M55" s="363" t="s">
        <v>416</v>
      </c>
      <c r="N55" s="364" t="s">
        <v>467</v>
      </c>
      <c r="O55" s="364" t="s">
        <v>468</v>
      </c>
      <c r="P55" s="362" t="s">
        <v>27</v>
      </c>
      <c r="Q55" s="363" t="s">
        <v>416</v>
      </c>
      <c r="R55" s="364" t="s">
        <v>467</v>
      </c>
      <c r="S55" s="364" t="s">
        <v>468</v>
      </c>
    </row>
    <row r="56" spans="2:24" x14ac:dyDescent="0.2">
      <c r="B56" s="52" t="s">
        <v>33</v>
      </c>
      <c r="C56" s="217">
        <v>0.9819</v>
      </c>
      <c r="D56" s="52" t="s">
        <v>49</v>
      </c>
      <c r="E56" s="318">
        <v>0.97640000000000005</v>
      </c>
      <c r="L56" s="352" t="str">
        <f t="shared" ref="L56:O72" si="3">L10</f>
        <v>Bernalillo</v>
      </c>
      <c r="M56" s="365">
        <f t="shared" si="3"/>
        <v>676438</v>
      </c>
      <c r="N56" s="366">
        <f t="shared" si="3"/>
        <v>1</v>
      </c>
      <c r="O56" s="367">
        <f t="shared" si="3"/>
        <v>0.31944716643518595</v>
      </c>
      <c r="P56" s="352" t="str">
        <f t="shared" ref="P56:P71" si="4">L27</f>
        <v>McKinley</v>
      </c>
      <c r="Q56" s="368">
        <f t="shared" ref="Q56:Q71" si="5">M27</f>
        <v>72898</v>
      </c>
      <c r="R56" s="366">
        <f t="shared" ref="R56:R71" si="6">N27</f>
        <v>8</v>
      </c>
      <c r="S56" s="367">
        <f t="shared" ref="S56:S71" si="7">O27</f>
        <v>3.4426007318914945E-2</v>
      </c>
    </row>
    <row r="57" spans="2:24" x14ac:dyDescent="0.2">
      <c r="B57" t="s">
        <v>34</v>
      </c>
      <c r="C57" s="218">
        <v>0.95860000000000001</v>
      </c>
      <c r="D57" t="s">
        <v>50</v>
      </c>
      <c r="E57" s="319">
        <v>0.95979999999999999</v>
      </c>
      <c r="L57" s="354" t="str">
        <f t="shared" si="3"/>
        <v>Catron</v>
      </c>
      <c r="M57" s="369">
        <f t="shared" si="3"/>
        <v>3582</v>
      </c>
      <c r="N57" s="370">
        <f t="shared" si="3"/>
        <v>31</v>
      </c>
      <c r="O57" s="353">
        <f t="shared" si="3"/>
        <v>1.6915959040900068E-3</v>
      </c>
      <c r="P57" s="354" t="str">
        <f t="shared" si="4"/>
        <v>Mora</v>
      </c>
      <c r="Q57" s="371">
        <f t="shared" si="5"/>
        <v>4185</v>
      </c>
      <c r="R57" s="370">
        <f t="shared" si="6"/>
        <v>28</v>
      </c>
      <c r="S57" s="353">
        <f t="shared" si="7"/>
        <v>1.9763620487483749E-3</v>
      </c>
    </row>
    <row r="58" spans="2:24" x14ac:dyDescent="0.2">
      <c r="B58" s="52" t="s">
        <v>35</v>
      </c>
      <c r="C58" s="217">
        <v>0.93459999999999999</v>
      </c>
      <c r="D58" s="52" t="s">
        <v>51</v>
      </c>
      <c r="E58" s="318">
        <v>0.93579999999999997</v>
      </c>
      <c r="L58" s="354" t="str">
        <f t="shared" si="3"/>
        <v>Chaves</v>
      </c>
      <c r="M58" s="369">
        <f t="shared" si="3"/>
        <v>65158</v>
      </c>
      <c r="N58" s="370">
        <f t="shared" si="3"/>
        <v>10</v>
      </c>
      <c r="O58" s="353">
        <f t="shared" si="3"/>
        <v>3.0770800088971709E-2</v>
      </c>
      <c r="P58" s="354" t="str">
        <f t="shared" si="4"/>
        <v>Otero</v>
      </c>
      <c r="Q58" s="371">
        <f t="shared" si="5"/>
        <v>67843</v>
      </c>
      <c r="R58" s="370">
        <f t="shared" si="6"/>
        <v>9</v>
      </c>
      <c r="S58" s="353">
        <f t="shared" si="7"/>
        <v>3.2038788643545042E-2</v>
      </c>
    </row>
    <row r="59" spans="2:24" x14ac:dyDescent="0.2">
      <c r="B59" t="s">
        <v>36</v>
      </c>
      <c r="C59" s="218">
        <v>0.97670000000000001</v>
      </c>
      <c r="D59" t="s">
        <v>52</v>
      </c>
      <c r="E59" s="319">
        <v>0.98109999999999997</v>
      </c>
      <c r="L59" s="354" t="str">
        <f t="shared" si="3"/>
        <v>Cibola</v>
      </c>
      <c r="M59" s="369">
        <f t="shared" si="3"/>
        <v>27172</v>
      </c>
      <c r="N59" s="370">
        <f t="shared" si="3"/>
        <v>17</v>
      </c>
      <c r="O59" s="353">
        <f t="shared" si="3"/>
        <v>1.2831949722482878E-2</v>
      </c>
      <c r="P59" s="354" t="str">
        <f t="shared" si="4"/>
        <v>Quay</v>
      </c>
      <c r="Q59" s="371">
        <f t="shared" si="5"/>
        <v>8744</v>
      </c>
      <c r="R59" s="370">
        <f t="shared" si="6"/>
        <v>26</v>
      </c>
      <c r="S59" s="353">
        <f t="shared" si="7"/>
        <v>4.1293452220443946E-3</v>
      </c>
    </row>
    <row r="60" spans="2:24" x14ac:dyDescent="0.2">
      <c r="B60" s="52" t="s">
        <v>67</v>
      </c>
      <c r="C60" s="217">
        <v>0.9859</v>
      </c>
      <c r="D60" s="52" t="s">
        <v>53</v>
      </c>
      <c r="E60" s="318">
        <v>0.98070000000000002</v>
      </c>
      <c r="L60" s="354" t="str">
        <f t="shared" si="3"/>
        <v>Colfax</v>
      </c>
      <c r="M60" s="369">
        <f t="shared" si="3"/>
        <v>12385</v>
      </c>
      <c r="N60" s="370">
        <f t="shared" si="3"/>
        <v>24</v>
      </c>
      <c r="O60" s="353">
        <f t="shared" si="3"/>
        <v>5.8488038169052861E-3</v>
      </c>
      <c r="P60" s="354" t="str">
        <f t="shared" si="4"/>
        <v>Rio Arriba</v>
      </c>
      <c r="Q60" s="371">
        <f t="shared" si="5"/>
        <v>40359</v>
      </c>
      <c r="R60" s="370">
        <f t="shared" si="6"/>
        <v>13</v>
      </c>
      <c r="S60" s="353">
        <f t="shared" si="7"/>
        <v>1.9059497234273755E-2</v>
      </c>
    </row>
    <row r="61" spans="2:24" x14ac:dyDescent="0.2">
      <c r="B61" t="s">
        <v>37</v>
      </c>
      <c r="C61" s="218">
        <v>0.98040000000000005</v>
      </c>
      <c r="D61" t="s">
        <v>54</v>
      </c>
      <c r="E61" s="319">
        <v>0.92269999999999996</v>
      </c>
      <c r="L61" s="354" t="str">
        <f t="shared" si="3"/>
        <v>Curry</v>
      </c>
      <c r="M61" s="369">
        <f t="shared" si="3"/>
        <v>48429</v>
      </c>
      <c r="N61" s="370">
        <f t="shared" si="3"/>
        <v>12</v>
      </c>
      <c r="O61" s="353">
        <f t="shared" si="3"/>
        <v>2.2870546632935494E-2</v>
      </c>
      <c r="P61" s="354" t="str">
        <f t="shared" si="4"/>
        <v>Roosevelt</v>
      </c>
      <c r="Q61" s="371">
        <f t="shared" si="5"/>
        <v>19197</v>
      </c>
      <c r="R61" s="370">
        <f t="shared" si="6"/>
        <v>21</v>
      </c>
      <c r="S61" s="353">
        <f t="shared" si="7"/>
        <v>9.065763978452223E-3</v>
      </c>
    </row>
    <row r="62" spans="2:24" x14ac:dyDescent="0.2">
      <c r="B62" s="52" t="s">
        <v>38</v>
      </c>
      <c r="C62" s="217">
        <v>0.96479999999999999</v>
      </c>
      <c r="D62" s="52" t="s">
        <v>55</v>
      </c>
      <c r="E62" s="318">
        <v>0.9677</v>
      </c>
      <c r="L62" s="354" t="str">
        <f t="shared" si="3"/>
        <v>De Baca</v>
      </c>
      <c r="M62" s="369">
        <f t="shared" si="3"/>
        <v>1697</v>
      </c>
      <c r="N62" s="370">
        <f t="shared" si="3"/>
        <v>32</v>
      </c>
      <c r="O62" s="353">
        <f t="shared" si="3"/>
        <v>8.0140654641003392E-4</v>
      </c>
      <c r="P62" s="354" t="str">
        <f t="shared" si="4"/>
        <v>San Juan</v>
      </c>
      <c r="Q62" s="371">
        <f t="shared" si="5"/>
        <v>121663</v>
      </c>
      <c r="R62" s="370">
        <f t="shared" si="6"/>
        <v>5</v>
      </c>
      <c r="S62" s="353">
        <f t="shared" si="7"/>
        <v>5.7455229614545647E-2</v>
      </c>
    </row>
    <row r="63" spans="2:24" x14ac:dyDescent="0.2">
      <c r="B63" t="s">
        <v>39</v>
      </c>
      <c r="C63" s="218">
        <v>0.94540000000000002</v>
      </c>
      <c r="D63" t="s">
        <v>56</v>
      </c>
      <c r="E63" s="319">
        <v>0.98399999999999999</v>
      </c>
      <c r="L63" s="354" t="str">
        <f t="shared" si="3"/>
        <v>Dona Ana</v>
      </c>
      <c r="M63" s="369">
        <f t="shared" si="3"/>
        <v>219567</v>
      </c>
      <c r="N63" s="370">
        <f t="shared" si="3"/>
        <v>2</v>
      </c>
      <c r="O63" s="353">
        <f t="shared" si="3"/>
        <v>0.1036902953303547</v>
      </c>
      <c r="P63" s="354" t="str">
        <f t="shared" si="4"/>
        <v>San Miguel</v>
      </c>
      <c r="Q63" s="371">
        <f t="shared" si="5"/>
        <v>27203</v>
      </c>
      <c r="R63" s="370">
        <f t="shared" si="6"/>
        <v>16</v>
      </c>
      <c r="S63" s="353">
        <f t="shared" si="7"/>
        <v>1.2846589441362495E-2</v>
      </c>
    </row>
    <row r="64" spans="2:24" x14ac:dyDescent="0.2">
      <c r="B64" s="52" t="s">
        <v>40</v>
      </c>
      <c r="C64" s="217">
        <v>0.98</v>
      </c>
      <c r="D64" s="52" t="s">
        <v>57</v>
      </c>
      <c r="E64" s="318">
        <v>0.98</v>
      </c>
      <c r="L64" s="354" t="str">
        <f t="shared" si="3"/>
        <v>Eddy</v>
      </c>
      <c r="M64" s="369">
        <f t="shared" si="3"/>
        <v>62314</v>
      </c>
      <c r="N64" s="370">
        <f t="shared" si="3"/>
        <v>11</v>
      </c>
      <c r="O64" s="353">
        <f t="shared" si="3"/>
        <v>2.9427723944015827E-2</v>
      </c>
      <c r="P64" s="354" t="str">
        <f t="shared" si="4"/>
        <v>Sandoval</v>
      </c>
      <c r="Q64" s="371">
        <f t="shared" si="5"/>
        <v>148829</v>
      </c>
      <c r="R64" s="370">
        <f t="shared" si="6"/>
        <v>4</v>
      </c>
      <c r="S64" s="353">
        <f t="shared" si="7"/>
        <v>7.0284345843051821E-2</v>
      </c>
    </row>
    <row r="65" spans="2:19" x14ac:dyDescent="0.2">
      <c r="B65" t="s">
        <v>41</v>
      </c>
      <c r="C65" s="218">
        <v>0.99739999999999995</v>
      </c>
      <c r="D65" t="s">
        <v>58</v>
      </c>
      <c r="E65" s="319">
        <v>0.89559999999999995</v>
      </c>
      <c r="L65" s="354" t="str">
        <f t="shared" si="3"/>
        <v>Grant</v>
      </c>
      <c r="M65" s="369">
        <f t="shared" si="3"/>
        <v>28190</v>
      </c>
      <c r="N65" s="370">
        <f t="shared" si="3"/>
        <v>15</v>
      </c>
      <c r="O65" s="353">
        <f t="shared" si="3"/>
        <v>1.3312699200529675E-2</v>
      </c>
      <c r="P65" s="354" t="str">
        <f t="shared" si="4"/>
        <v>Santa Fe</v>
      </c>
      <c r="Q65" s="371">
        <f t="shared" si="5"/>
        <v>154823</v>
      </c>
      <c r="R65" s="370">
        <f t="shared" si="6"/>
        <v>3</v>
      </c>
      <c r="S65" s="353">
        <f t="shared" si="7"/>
        <v>7.3115006325775306E-2</v>
      </c>
    </row>
    <row r="66" spans="2:19" x14ac:dyDescent="0.2">
      <c r="B66" s="52" t="s">
        <v>42</v>
      </c>
      <c r="C66" s="217">
        <v>0.98170000000000002</v>
      </c>
      <c r="D66" s="52" t="s">
        <v>59</v>
      </c>
      <c r="E66" s="318">
        <v>0.91779999999999995</v>
      </c>
      <c r="L66" s="354" t="str">
        <f t="shared" si="3"/>
        <v>Guadalupe</v>
      </c>
      <c r="M66" s="369">
        <f t="shared" si="3"/>
        <v>4451</v>
      </c>
      <c r="N66" s="370">
        <f t="shared" si="3"/>
        <v>27</v>
      </c>
      <c r="O66" s="353">
        <f t="shared" si="3"/>
        <v>2.101980281715416E-3</v>
      </c>
      <c r="P66" s="354" t="str">
        <f t="shared" si="4"/>
        <v>Sierra</v>
      </c>
      <c r="Q66" s="371">
        <f t="shared" si="5"/>
        <v>11574</v>
      </c>
      <c r="R66" s="370">
        <f t="shared" si="6"/>
        <v>25</v>
      </c>
      <c r="S66" s="353">
        <f t="shared" si="7"/>
        <v>5.4658098810546453E-3</v>
      </c>
    </row>
    <row r="67" spans="2:19" x14ac:dyDescent="0.2">
      <c r="B67" t="s">
        <v>43</v>
      </c>
      <c r="C67" s="218">
        <v>0.99229999999999996</v>
      </c>
      <c r="D67" t="s">
        <v>60</v>
      </c>
      <c r="E67" s="319">
        <v>0.93220000000000003</v>
      </c>
      <c r="L67" s="354" t="str">
        <f t="shared" si="3"/>
        <v>Harding</v>
      </c>
      <c r="M67" s="369">
        <f t="shared" si="3"/>
        <v>655</v>
      </c>
      <c r="N67" s="370">
        <f t="shared" si="3"/>
        <v>33</v>
      </c>
      <c r="O67" s="353">
        <f t="shared" si="3"/>
        <v>3.0932309245643619E-4</v>
      </c>
      <c r="P67" s="354" t="str">
        <f t="shared" si="4"/>
        <v>Socorro</v>
      </c>
      <c r="Q67" s="371">
        <f t="shared" si="5"/>
        <v>16602</v>
      </c>
      <c r="R67" s="370">
        <f t="shared" si="6"/>
        <v>22</v>
      </c>
      <c r="S67" s="353">
        <f t="shared" si="7"/>
        <v>7.8402778335293962E-3</v>
      </c>
    </row>
    <row r="68" spans="2:19" x14ac:dyDescent="0.2">
      <c r="B68" s="52" t="s">
        <v>44</v>
      </c>
      <c r="C68" s="217">
        <v>0.98199999999999998</v>
      </c>
      <c r="D68" s="52" t="s">
        <v>61</v>
      </c>
      <c r="E68" s="318">
        <v>0.9849</v>
      </c>
      <c r="L68" s="354" t="str">
        <f t="shared" si="3"/>
        <v>Hidalgo</v>
      </c>
      <c r="M68" s="369">
        <f t="shared" si="3"/>
        <v>4180</v>
      </c>
      <c r="N68" s="370">
        <f t="shared" si="3"/>
        <v>29</v>
      </c>
      <c r="O68" s="353">
        <f t="shared" si="3"/>
        <v>1.9740008037677915E-3</v>
      </c>
      <c r="P68" s="354" t="str">
        <f t="shared" si="4"/>
        <v>Taos</v>
      </c>
      <c r="Q68" s="371">
        <f t="shared" si="5"/>
        <v>34488</v>
      </c>
      <c r="R68" s="370">
        <f t="shared" si="6"/>
        <v>14</v>
      </c>
      <c r="S68" s="353">
        <f t="shared" si="7"/>
        <v>1.6286923378072631E-2</v>
      </c>
    </row>
    <row r="69" spans="2:19" x14ac:dyDescent="0.2">
      <c r="B69" t="s">
        <v>45</v>
      </c>
      <c r="C69" s="218">
        <v>0.99470000000000003</v>
      </c>
      <c r="D69" t="s">
        <v>62</v>
      </c>
      <c r="E69" s="319">
        <v>0.94450000000000001</v>
      </c>
      <c r="L69" s="354" t="str">
        <f t="shared" si="3"/>
        <v>Lea</v>
      </c>
      <c r="M69" s="369">
        <f t="shared" si="3"/>
        <v>74455</v>
      </c>
      <c r="N69" s="370">
        <f t="shared" si="3"/>
        <v>7</v>
      </c>
      <c r="O69" s="353">
        <f t="shared" si="3"/>
        <v>3.5161299005868639E-2</v>
      </c>
      <c r="P69" s="354" t="str">
        <f t="shared" si="4"/>
        <v>Torrance</v>
      </c>
      <c r="Q69" s="371">
        <f t="shared" si="5"/>
        <v>15045</v>
      </c>
      <c r="R69" s="370">
        <f t="shared" si="6"/>
        <v>23</v>
      </c>
      <c r="S69" s="353">
        <f t="shared" si="7"/>
        <v>7.1049861465756993E-3</v>
      </c>
    </row>
    <row r="70" spans="2:19" ht="13.5" thickBot="1" x14ac:dyDescent="0.25">
      <c r="B70" s="70" t="s">
        <v>46</v>
      </c>
      <c r="C70" s="219">
        <v>0.92720000000000002</v>
      </c>
      <c r="D70" s="192" t="s">
        <v>387</v>
      </c>
      <c r="E70" s="526">
        <f>(SUM(C54:C70)+SUM(E54:E69))/33</f>
        <v>0.96412727272727272</v>
      </c>
      <c r="L70" s="354" t="str">
        <f t="shared" si="3"/>
        <v>Lincoln</v>
      </c>
      <c r="M70" s="369">
        <f t="shared" si="3"/>
        <v>20273</v>
      </c>
      <c r="N70" s="370">
        <f t="shared" si="3"/>
        <v>19</v>
      </c>
      <c r="O70" s="353">
        <f t="shared" si="3"/>
        <v>9.5739038982737886E-3</v>
      </c>
      <c r="P70" s="354" t="str">
        <f t="shared" si="4"/>
        <v>Union</v>
      </c>
      <c r="Q70" s="371">
        <f t="shared" si="5"/>
        <v>4083</v>
      </c>
      <c r="R70" s="370">
        <f t="shared" si="6"/>
        <v>30</v>
      </c>
      <c r="S70" s="353">
        <f t="shared" si="7"/>
        <v>1.9281926511444719E-3</v>
      </c>
    </row>
    <row r="71" spans="2:19" x14ac:dyDescent="0.2">
      <c r="B71" t="s">
        <v>388</v>
      </c>
      <c r="L71" s="354" t="str">
        <f t="shared" si="3"/>
        <v>Los Alamos</v>
      </c>
      <c r="M71" s="369">
        <f t="shared" si="3"/>
        <v>19418</v>
      </c>
      <c r="N71" s="370">
        <f t="shared" si="3"/>
        <v>20</v>
      </c>
      <c r="O71" s="353">
        <f t="shared" si="3"/>
        <v>9.1701310065940133E-3</v>
      </c>
      <c r="P71" s="354" t="str">
        <f t="shared" si="4"/>
        <v>Valencia</v>
      </c>
      <c r="Q71" s="371">
        <f t="shared" si="5"/>
        <v>76205</v>
      </c>
      <c r="R71" s="370">
        <f t="shared" si="6"/>
        <v>6</v>
      </c>
      <c r="S71" s="353">
        <f t="shared" si="7"/>
        <v>3.598773474907286E-2</v>
      </c>
    </row>
    <row r="72" spans="2:19" x14ac:dyDescent="0.2">
      <c r="B72" s="335" t="s">
        <v>499</v>
      </c>
      <c r="L72" s="356" t="str">
        <f t="shared" si="3"/>
        <v>Luna</v>
      </c>
      <c r="M72" s="372">
        <f t="shared" si="3"/>
        <v>25422</v>
      </c>
      <c r="N72" s="373">
        <f t="shared" si="3"/>
        <v>18</v>
      </c>
      <c r="O72" s="355">
        <f t="shared" si="3"/>
        <v>1.2005513979278659E-2</v>
      </c>
      <c r="P72" s="374" t="s">
        <v>473</v>
      </c>
      <c r="Q72" s="375">
        <f>SUM(M56:M72)+SUM(Q56:Q71)</f>
        <v>2117527</v>
      </c>
      <c r="R72" s="373">
        <f>N43</f>
        <v>0</v>
      </c>
      <c r="S72" s="355">
        <f>O43</f>
        <v>1.0000000000000002</v>
      </c>
    </row>
    <row r="73" spans="2:19" ht="21" x14ac:dyDescent="0.25">
      <c r="B73" s="335" t="s">
        <v>500</v>
      </c>
      <c r="L73" s="586" t="str">
        <f>B44</f>
        <v>1Source: New Mexico Population Estimates for Counties from US Census Bureau as of July 1, 2022</v>
      </c>
    </row>
    <row r="74" spans="2:19" x14ac:dyDescent="0.2">
      <c r="B74" s="335" t="s">
        <v>501</v>
      </c>
      <c r="L74" s="381" t="s">
        <v>564</v>
      </c>
    </row>
    <row r="75" spans="2:19" x14ac:dyDescent="0.2">
      <c r="B75" s="335" t="s">
        <v>481</v>
      </c>
    </row>
    <row r="77" spans="2:19" ht="13.5" thickBot="1" x14ac:dyDescent="0.25"/>
    <row r="78" spans="2:19" ht="13.5" thickBot="1" x14ac:dyDescent="0.25">
      <c r="L78" s="443">
        <f>(M56+M63+Q64+Q65)/Q72</f>
        <v>0.56653681393436783</v>
      </c>
      <c r="M78" s="444" t="s">
        <v>541</v>
      </c>
      <c r="N78" s="445"/>
      <c r="O78" s="446"/>
      <c r="Q78" s="332" t="str">
        <f>IF(Q72=C43,"OK","ERROR")</f>
        <v>OK</v>
      </c>
    </row>
    <row r="79" spans="2:19" ht="15" x14ac:dyDescent="0.2">
      <c r="B79" s="603">
        <f>+'Table 8'!B46:G46+1</f>
        <v>13</v>
      </c>
      <c r="C79" s="603"/>
      <c r="D79" s="603"/>
      <c r="E79" s="603"/>
      <c r="F79" s="603"/>
      <c r="G79" s="603"/>
      <c r="H79" s="603"/>
      <c r="I79" s="603"/>
      <c r="J79" s="603"/>
    </row>
  </sheetData>
  <sortState xmlns:xlrd2="http://schemas.microsoft.com/office/spreadsheetml/2017/richdata2" ref="L11:O42">
    <sortCondition ref="L11:L42"/>
  </sortState>
  <mergeCells count="1">
    <mergeCell ref="B79:J79"/>
  </mergeCells>
  <phoneticPr fontId="0" type="noConversion"/>
  <printOptions horizontalCentered="1"/>
  <pageMargins left="0.75" right="0.75" top="0.51" bottom="0.47" header="0.37" footer="0.23"/>
  <pageSetup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AO121"/>
  <sheetViews>
    <sheetView showGridLines="0" showZeros="0" topLeftCell="A48" zoomScaleNormal="100" zoomScaleSheetLayoutView="90" workbookViewId="0">
      <selection activeCell="AF23" sqref="AF23"/>
    </sheetView>
  </sheetViews>
  <sheetFormatPr defaultRowHeight="12.75" x14ac:dyDescent="0.2"/>
  <cols>
    <col min="2" max="2" width="10.85546875" bestFit="1" customWidth="1"/>
    <col min="3" max="3" width="6.5703125" customWidth="1"/>
    <col min="4" max="4" width="5.28515625" customWidth="1"/>
    <col min="5" max="5" width="10.140625" customWidth="1"/>
    <col min="6" max="6" width="5.28515625" customWidth="1"/>
    <col min="7" max="7" width="11.7109375" customWidth="1"/>
    <col min="8" max="8" width="5.28515625" customWidth="1"/>
    <col min="9" max="9" width="7.7109375" customWidth="1"/>
    <col min="10" max="10" width="7.85546875" customWidth="1"/>
    <col min="11" max="12" width="9.85546875" customWidth="1"/>
    <col min="13" max="13" width="7.85546875" customWidth="1"/>
    <col min="14" max="14" width="5.28515625" customWidth="1"/>
    <col min="16" max="16" width="0" hidden="1" customWidth="1"/>
    <col min="17" max="17" width="10.85546875" hidden="1" customWidth="1"/>
    <col min="18" max="18" width="0" hidden="1" customWidth="1"/>
    <col min="19" max="19" width="3" hidden="1" customWidth="1"/>
    <col min="20" max="20" width="0" hidden="1" customWidth="1"/>
    <col min="21" max="21" width="10.85546875" hidden="1" customWidth="1"/>
    <col min="22" max="22" width="4.85546875" hidden="1" customWidth="1"/>
    <col min="23" max="23" width="12.7109375" hidden="1" customWidth="1"/>
    <col min="24" max="24" width="1.5703125" hidden="1" customWidth="1"/>
    <col min="25" max="25" width="10.140625" hidden="1" customWidth="1"/>
    <col min="26" max="26" width="10.28515625" hidden="1" customWidth="1"/>
    <col min="27" max="27" width="6" hidden="1" customWidth="1"/>
    <col min="28" max="30" width="0" hidden="1" customWidth="1"/>
  </cols>
  <sheetData>
    <row r="1" spans="2:41" ht="15.75" x14ac:dyDescent="0.25">
      <c r="B1" s="1" t="s">
        <v>443</v>
      </c>
      <c r="C1" s="1"/>
    </row>
    <row r="2" spans="2:41" ht="15.75" x14ac:dyDescent="0.25">
      <c r="B2" s="3" t="s">
        <v>497</v>
      </c>
      <c r="C2" s="6"/>
      <c r="E2" s="3" t="str">
        <f>'table 1 &amp; 2'!C2</f>
        <v>2022 Tax Year</v>
      </c>
      <c r="J2" s="276"/>
    </row>
    <row r="3" spans="2:41" x14ac:dyDescent="0.2">
      <c r="U3" t="e">
        <f>+U4/Z24</f>
        <v>#DIV/0!</v>
      </c>
    </row>
    <row r="4" spans="2:41" x14ac:dyDescent="0.2">
      <c r="B4" s="7" t="s">
        <v>502</v>
      </c>
      <c r="C4" s="7"/>
      <c r="H4" s="7" t="str">
        <f>E2</f>
        <v>2022 Tax Year</v>
      </c>
      <c r="U4" s="181">
        <f>SUM(U8:U12)</f>
        <v>635139</v>
      </c>
      <c r="AE4" s="583" t="s">
        <v>566</v>
      </c>
      <c r="AF4" s="438"/>
      <c r="AG4" s="438"/>
      <c r="AH4" s="438"/>
      <c r="AI4" s="438"/>
      <c r="AJ4" s="438"/>
      <c r="AK4" s="438"/>
      <c r="AL4" s="438"/>
      <c r="AM4" s="438"/>
      <c r="AN4" s="438"/>
      <c r="AO4" s="438"/>
    </row>
    <row r="5" spans="2:41" x14ac:dyDescent="0.2">
      <c r="B5" s="7" t="s">
        <v>415</v>
      </c>
      <c r="C5" s="7"/>
      <c r="K5" s="221"/>
      <c r="Q5" s="248" t="s">
        <v>64</v>
      </c>
      <c r="T5" s="7" t="s">
        <v>418</v>
      </c>
    </row>
    <row r="6" spans="2:41" x14ac:dyDescent="0.2">
      <c r="E6" s="224"/>
      <c r="G6" s="46" t="s">
        <v>5</v>
      </c>
      <c r="H6" s="46"/>
      <c r="I6" s="46"/>
      <c r="K6" s="208" t="s">
        <v>321</v>
      </c>
      <c r="Q6" s="248" t="s">
        <v>65</v>
      </c>
      <c r="W6" s="46" t="s">
        <v>334</v>
      </c>
      <c r="X6" s="49"/>
      <c r="AB6" s="46" t="s">
        <v>334</v>
      </c>
    </row>
    <row r="7" spans="2:41" ht="13.5" thickBot="1" x14ac:dyDescent="0.25">
      <c r="B7" s="47" t="s">
        <v>27</v>
      </c>
      <c r="C7" s="229" t="s">
        <v>8</v>
      </c>
      <c r="D7" s="533" t="s">
        <v>335</v>
      </c>
      <c r="E7" s="230" t="s">
        <v>9</v>
      </c>
      <c r="F7" s="68" t="s">
        <v>335</v>
      </c>
      <c r="G7" s="178" t="s">
        <v>414</v>
      </c>
      <c r="H7" s="68" t="s">
        <v>335</v>
      </c>
      <c r="I7" s="68" t="s">
        <v>29</v>
      </c>
      <c r="J7" s="68" t="s">
        <v>335</v>
      </c>
      <c r="K7" s="230" t="s">
        <v>30</v>
      </c>
      <c r="L7" s="68" t="s">
        <v>10</v>
      </c>
      <c r="M7" s="68" t="s">
        <v>29</v>
      </c>
      <c r="N7" s="68" t="s">
        <v>335</v>
      </c>
      <c r="Q7" s="248">
        <v>2008</v>
      </c>
      <c r="R7" t="s">
        <v>335</v>
      </c>
      <c r="T7" s="47" t="s">
        <v>27</v>
      </c>
      <c r="U7" s="47" t="s">
        <v>416</v>
      </c>
      <c r="V7" s="47" t="s">
        <v>335</v>
      </c>
      <c r="W7" s="68" t="s">
        <v>417</v>
      </c>
      <c r="X7" s="63"/>
      <c r="Y7" s="47" t="s">
        <v>27</v>
      </c>
      <c r="Z7" s="47" t="s">
        <v>416</v>
      </c>
      <c r="AA7" s="47" t="s">
        <v>335</v>
      </c>
      <c r="AB7" s="68" t="s">
        <v>417</v>
      </c>
    </row>
    <row r="8" spans="2:41" x14ac:dyDescent="0.2">
      <c r="B8" s="52" t="s">
        <v>31</v>
      </c>
      <c r="C8" s="414">
        <f>'table 1 &amp; 2'!B9/'table 1 &amp; 2'!$B$42*100</f>
        <v>21.67333264705702</v>
      </c>
      <c r="D8" s="569">
        <f>RANK(C8,$C$8:$C$40)</f>
        <v>1</v>
      </c>
      <c r="E8" s="414">
        <f>'table 1 &amp; 2'!C9/'table 1 &amp; 2'!$C$42*100</f>
        <v>35.132424739719085</v>
      </c>
      <c r="F8" s="567">
        <f>RANK(E8,$E$8:$E$40)</f>
        <v>1</v>
      </c>
      <c r="G8" s="414">
        <f>'table 1 &amp; 2'!D9/'table 1 &amp; 2'!$D$42*100</f>
        <v>18.077669478791929</v>
      </c>
      <c r="H8" s="382">
        <f t="shared" ref="H8:H40" si="0">RANK(G8,$G$8:$G$40)</f>
        <v>1</v>
      </c>
      <c r="I8" s="414">
        <f>'table 1 &amp; 2'!E9/'table 1 &amp; 2'!$E$42*100</f>
        <v>29.355021098194001</v>
      </c>
      <c r="J8" s="564">
        <f>RANK(I8,$I$8:$I$40)</f>
        <v>1</v>
      </c>
      <c r="K8" s="414">
        <f>'table 1 &amp; 2'!F9/'table 1 &amp; 2'!$F$42*100</f>
        <v>0</v>
      </c>
      <c r="L8" s="414">
        <f>'table 1 &amp; 2'!G9/'table 1 &amp; 2'!$G$42*100</f>
        <v>0</v>
      </c>
      <c r="M8" s="414">
        <f>'table 1 &amp; 2'!H9/'table 1 &amp; 2'!$H$42*100</f>
        <v>0</v>
      </c>
      <c r="N8" s="382" t="str">
        <f>IF(M8=0,"N/A",RANK(M8,$M$8:$M$40))</f>
        <v>N/A</v>
      </c>
      <c r="P8" s="52" t="s">
        <v>31</v>
      </c>
      <c r="Q8" s="248">
        <v>635139</v>
      </c>
      <c r="R8" s="99">
        <f>RANK(Q8,$Q$8:$Q$40)</f>
        <v>1</v>
      </c>
      <c r="S8" s="46"/>
      <c r="T8" t="s">
        <v>31</v>
      </c>
      <c r="U8" s="255">
        <v>635139</v>
      </c>
      <c r="V8">
        <v>1</v>
      </c>
      <c r="W8" s="264">
        <v>32.007311188113427</v>
      </c>
      <c r="X8" s="258"/>
      <c r="Y8" t="s">
        <v>46</v>
      </c>
      <c r="Z8" s="255">
        <v>27227</v>
      </c>
      <c r="AA8">
        <v>18</v>
      </c>
      <c r="AB8" s="264">
        <v>1.3720824287577431</v>
      </c>
    </row>
    <row r="9" spans="2:41" x14ac:dyDescent="0.2">
      <c r="B9" t="s">
        <v>32</v>
      </c>
      <c r="C9" s="415">
        <f>'table 1 &amp; 2'!B10/'table 1 &amp; 2'!$B$42*100</f>
        <v>0.16399620108536628</v>
      </c>
      <c r="D9" s="570">
        <f t="shared" ref="D9:D40" si="1">RANK(C9,$C$8:$C$40)</f>
        <v>31</v>
      </c>
      <c r="E9" s="415">
        <f>'table 1 &amp; 2'!C10/'table 1 &amp; 2'!$C$42*100</f>
        <v>0.1990924258777641</v>
      </c>
      <c r="F9" s="568">
        <f t="shared" ref="F9:F40" si="2">RANK(E9,$E$8:$E$40)</f>
        <v>28</v>
      </c>
      <c r="G9" s="415">
        <f>'table 1 &amp; 2'!D10/'table 1 &amp; 2'!$D$42*100</f>
        <v>0.26707352804385814</v>
      </c>
      <c r="H9" s="177">
        <f t="shared" si="0"/>
        <v>32</v>
      </c>
      <c r="I9" s="415">
        <f>'table 1 &amp; 2'!E10/'table 1 &amp; 2'!$E$42*100</f>
        <v>0.22212144395514979</v>
      </c>
      <c r="J9" s="565">
        <f t="shared" ref="J9:J40" si="3">RANK(I9,$I$8:$I$40)</f>
        <v>31</v>
      </c>
      <c r="K9" s="415">
        <f>'table 1 &amp; 2'!F10/'table 1 &amp; 2'!$F$42*100</f>
        <v>0</v>
      </c>
      <c r="L9" s="415">
        <f>'table 1 &amp; 2'!G10/'table 1 &amp; 2'!$G$42*100</f>
        <v>0</v>
      </c>
      <c r="M9" s="415">
        <f>'table 1 &amp; 2'!H10/'table 1 &amp; 2'!$H$42*100</f>
        <v>0</v>
      </c>
      <c r="N9" s="177" t="str">
        <f t="shared" ref="N9:N40" si="4">IF(M9=0,"N/A",RANK(M9,$M$8:$M$40))</f>
        <v>N/A</v>
      </c>
      <c r="Q9" s="248"/>
      <c r="R9" s="99"/>
      <c r="S9" s="46"/>
      <c r="U9" s="255"/>
      <c r="W9" s="264"/>
      <c r="X9" s="258"/>
      <c r="Z9" s="255"/>
      <c r="AB9" s="264"/>
    </row>
    <row r="10" spans="2:41" x14ac:dyDescent="0.2">
      <c r="B10" s="52" t="s">
        <v>33</v>
      </c>
      <c r="C10" s="414">
        <f>'table 1 &amp; 2'!B11/'table 1 &amp; 2'!$B$42*100</f>
        <v>1.6636733697945778</v>
      </c>
      <c r="D10" s="571">
        <f t="shared" si="1"/>
        <v>11</v>
      </c>
      <c r="E10" s="414">
        <f>'table 1 &amp; 2'!C11/'table 1 &amp; 2'!$C$42*100</f>
        <v>1.8232119032192171</v>
      </c>
      <c r="F10" s="567">
        <f t="shared" si="2"/>
        <v>12</v>
      </c>
      <c r="G10" s="414">
        <f>'table 1 &amp; 2'!D11/'table 1 &amp; 2'!$D$42*100</f>
        <v>2.8256987463392984</v>
      </c>
      <c r="H10" s="382">
        <f t="shared" si="0"/>
        <v>8</v>
      </c>
      <c r="I10" s="414">
        <f>'table 1 &amp; 2'!E11/'table 1 &amp; 2'!$E$42*100</f>
        <v>2.1628105107285269</v>
      </c>
      <c r="J10" s="566">
        <f t="shared" si="3"/>
        <v>11</v>
      </c>
      <c r="K10" s="414">
        <f>'table 1 &amp; 2'!F11/'table 1 &amp; 2'!$F$42*100</f>
        <v>0.25306374063791548</v>
      </c>
      <c r="L10" s="414">
        <f>'table 1 &amp; 2'!G11/'table 1 &amp; 2'!$G$42*100</f>
        <v>0.26494134220422</v>
      </c>
      <c r="M10" s="414">
        <f>'table 1 &amp; 2'!H11/'table 1 &amp; 2'!$H$42*100</f>
        <v>0.255393749919957</v>
      </c>
      <c r="N10" s="382">
        <f t="shared" si="4"/>
        <v>7</v>
      </c>
      <c r="P10" s="52"/>
      <c r="Q10" s="248"/>
      <c r="R10" s="99"/>
      <c r="S10" s="46"/>
      <c r="U10" s="255"/>
      <c r="W10" s="264"/>
      <c r="X10" s="258"/>
      <c r="Z10" s="255"/>
      <c r="AB10" s="264"/>
    </row>
    <row r="11" spans="2:41" x14ac:dyDescent="0.2">
      <c r="B11" t="s">
        <v>34</v>
      </c>
      <c r="C11" s="415">
        <f>'table 1 &amp; 2'!B12/'table 1 &amp; 2'!$B$42*100</f>
        <v>0.43058296646777355</v>
      </c>
      <c r="D11" s="570">
        <f t="shared" si="1"/>
        <v>23</v>
      </c>
      <c r="E11" s="415">
        <f>'table 1 &amp; 2'!C12/'table 1 &amp; 2'!$C$42*100</f>
        <v>0.37126270952467877</v>
      </c>
      <c r="F11" s="568">
        <f t="shared" si="2"/>
        <v>25</v>
      </c>
      <c r="G11" s="415">
        <f>'table 1 &amp; 2'!D12/'table 1 &amp; 2'!$D$42*100</f>
        <v>0.99688070850421617</v>
      </c>
      <c r="H11" s="177">
        <f t="shared" si="0"/>
        <v>20</v>
      </c>
      <c r="I11" s="415">
        <f>'table 1 &amp; 2'!E12/'table 1 &amp; 2'!$E$42*100</f>
        <v>0.5831946692748603</v>
      </c>
      <c r="J11" s="565">
        <f t="shared" si="3"/>
        <v>23</v>
      </c>
      <c r="K11" s="415">
        <f>'table 1 &amp; 2'!F12/'table 1 &amp; 2'!$F$42*100</f>
        <v>0</v>
      </c>
      <c r="L11" s="415">
        <f>'table 1 &amp; 2'!G12/'table 1 &amp; 2'!$G$42*100</f>
        <v>0</v>
      </c>
      <c r="M11" s="415">
        <f>'table 1 &amp; 2'!H12/'table 1 &amp; 2'!$H$42*100</f>
        <v>0</v>
      </c>
      <c r="N11" s="177" t="str">
        <f t="shared" si="4"/>
        <v>N/A</v>
      </c>
      <c r="Q11" s="248"/>
      <c r="R11" s="99"/>
      <c r="S11" s="46"/>
      <c r="U11" s="255"/>
      <c r="W11" s="264"/>
      <c r="X11" s="258"/>
      <c r="Z11" s="255"/>
      <c r="AB11" s="264"/>
    </row>
    <row r="12" spans="2:41" x14ac:dyDescent="0.2">
      <c r="B12" s="52" t="s">
        <v>35</v>
      </c>
      <c r="C12" s="414">
        <f>'table 1 &amp; 2'!B13/'table 1 &amp; 2'!$B$42*100</f>
        <v>0.78701086466131087</v>
      </c>
      <c r="D12" s="571">
        <f t="shared" si="1"/>
        <v>18</v>
      </c>
      <c r="E12" s="414">
        <f>'table 1 &amp; 2'!C13/'table 1 &amp; 2'!$C$42*100</f>
        <v>1.0232188223930401</v>
      </c>
      <c r="F12" s="567">
        <f t="shared" si="2"/>
        <v>18</v>
      </c>
      <c r="G12" s="414">
        <f>'table 1 &amp; 2'!D13/'table 1 &amp; 2'!$D$42*100</f>
        <v>0.98462879232587774</v>
      </c>
      <c r="H12" s="382">
        <f t="shared" si="0"/>
        <v>21</v>
      </c>
      <c r="I12" s="414">
        <f>'table 1 &amp; 2'!E13/'table 1 &amp; 2'!$E$42*100</f>
        <v>1.010146211451072</v>
      </c>
      <c r="J12" s="566">
        <f t="shared" si="3"/>
        <v>19</v>
      </c>
      <c r="K12" s="414">
        <f>'table 1 &amp; 2'!F13/'table 1 &amp; 2'!$F$42*100</f>
        <v>0.16070467161378443</v>
      </c>
      <c r="L12" s="414">
        <f>'table 1 &amp; 2'!G13/'table 1 &amp; 2'!$G$42*100</f>
        <v>0.14411599299370143</v>
      </c>
      <c r="M12" s="414">
        <f>'table 1 &amp; 2'!H13/'table 1 &amp; 2'!$H$42*100</f>
        <v>0.15745049820631407</v>
      </c>
      <c r="N12" s="382">
        <f t="shared" si="4"/>
        <v>8</v>
      </c>
      <c r="P12" s="52"/>
      <c r="Q12" s="248"/>
      <c r="R12" s="99"/>
      <c r="S12" s="46"/>
      <c r="U12" s="255"/>
      <c r="W12" s="264"/>
      <c r="X12" s="258"/>
      <c r="Z12" s="255"/>
      <c r="AB12" s="264"/>
    </row>
    <row r="13" spans="2:41" x14ac:dyDescent="0.2">
      <c r="B13" t="s">
        <v>36</v>
      </c>
      <c r="C13" s="415">
        <f>'table 1 &amp; 2'!B14/'table 1 &amp; 2'!$B$42*100</f>
        <v>1.1385922816902845</v>
      </c>
      <c r="D13" s="570">
        <f t="shared" si="1"/>
        <v>14</v>
      </c>
      <c r="E13" s="415">
        <f>'table 1 &amp; 2'!C14/'table 1 &amp; 2'!$C$42*100</f>
        <v>1.4482746952243808</v>
      </c>
      <c r="F13" s="568">
        <f t="shared" si="2"/>
        <v>14</v>
      </c>
      <c r="G13" s="415">
        <f>'table 1 &amp; 2'!D14/'table 1 &amp; 2'!$D$42*100</f>
        <v>1.7253746784127377</v>
      </c>
      <c r="H13" s="177">
        <f t="shared" si="0"/>
        <v>15</v>
      </c>
      <c r="I13" s="415">
        <f>'table 1 &amp; 2'!E14/'table 1 &amp; 2'!$E$42*100</f>
        <v>1.54214402535817</v>
      </c>
      <c r="J13" s="565">
        <f t="shared" si="3"/>
        <v>13</v>
      </c>
      <c r="K13" s="415">
        <f>'table 1 &amp; 2'!F14/'table 1 &amp; 2'!$F$42*100</f>
        <v>0</v>
      </c>
      <c r="L13" s="415">
        <f>'table 1 &amp; 2'!G14/'table 1 &amp; 2'!$G$42*100</f>
        <v>0</v>
      </c>
      <c r="M13" s="415">
        <f>'table 1 &amp; 2'!H14/'table 1 &amp; 2'!$H$42*100</f>
        <v>0</v>
      </c>
      <c r="N13" s="177" t="str">
        <f t="shared" si="4"/>
        <v>N/A</v>
      </c>
      <c r="Q13" s="248"/>
      <c r="R13" s="99"/>
      <c r="S13" s="46"/>
      <c r="U13" s="255"/>
      <c r="W13" s="264"/>
      <c r="X13" s="258"/>
      <c r="Z13" s="255"/>
      <c r="AB13" s="264"/>
    </row>
    <row r="14" spans="2:41" x14ac:dyDescent="0.2">
      <c r="B14" s="52" t="s">
        <v>67</v>
      </c>
      <c r="C14" s="414">
        <f>'table 1 &amp; 2'!B15/'table 1 &amp; 2'!$B$42*100</f>
        <v>0.11041422639815469</v>
      </c>
      <c r="D14" s="571">
        <f t="shared" si="1"/>
        <v>32</v>
      </c>
      <c r="E14" s="414">
        <f>'table 1 &amp; 2'!C15/'table 1 &amp; 2'!$C$42*100</f>
        <v>4.4012595522761738E-2</v>
      </c>
      <c r="F14" s="567">
        <f t="shared" si="2"/>
        <v>32</v>
      </c>
      <c r="G14" s="414">
        <f>'table 1 &amp; 2'!D15/'table 1 &amp; 2'!$D$42*100</f>
        <v>0.35555169028554912</v>
      </c>
      <c r="H14" s="382">
        <f t="shared" si="0"/>
        <v>30</v>
      </c>
      <c r="I14" s="414">
        <f>'table 1 &amp; 2'!E15/'table 1 &amp; 2'!$E$42*100</f>
        <v>0.14954838733113424</v>
      </c>
      <c r="J14" s="566">
        <f t="shared" si="3"/>
        <v>32</v>
      </c>
      <c r="K14" s="414">
        <f>'table 1 &amp; 2'!F15/'table 1 &amp; 2'!$F$42*100</f>
        <v>0</v>
      </c>
      <c r="L14" s="414">
        <f>'table 1 &amp; 2'!G15/'table 1 &amp; 2'!$G$42*100</f>
        <v>0</v>
      </c>
      <c r="M14" s="414">
        <f>'table 1 &amp; 2'!H15/'table 1 &amp; 2'!$H$42*100</f>
        <v>0</v>
      </c>
      <c r="N14" s="382" t="str">
        <f t="shared" si="4"/>
        <v>N/A</v>
      </c>
      <c r="P14" s="52"/>
      <c r="Q14" s="248"/>
      <c r="R14" s="99"/>
      <c r="S14" s="46"/>
      <c r="U14" s="255"/>
      <c r="W14" s="264"/>
      <c r="X14" s="258"/>
      <c r="Z14" s="255"/>
      <c r="AB14" s="264"/>
    </row>
    <row r="15" spans="2:41" x14ac:dyDescent="0.2">
      <c r="B15" t="s">
        <v>37</v>
      </c>
      <c r="C15" s="415">
        <f>'table 1 &amp; 2'!B16/'table 1 &amp; 2'!$B$42*100</f>
        <v>5.8852806227967998</v>
      </c>
      <c r="D15" s="570">
        <f t="shared" si="1"/>
        <v>5</v>
      </c>
      <c r="E15" s="415">
        <f>'table 1 &amp; 2'!C16/'table 1 &amp; 2'!$C$42*100</f>
        <v>8.7623167914150262</v>
      </c>
      <c r="F15" s="568">
        <f t="shared" si="2"/>
        <v>3</v>
      </c>
      <c r="G15" s="415">
        <f>'table 1 &amp; 2'!D16/'table 1 &amp; 2'!$D$42*100</f>
        <v>6.4269684481129561</v>
      </c>
      <c r="H15" s="177">
        <f t="shared" si="0"/>
        <v>6</v>
      </c>
      <c r="I15" s="415">
        <f>'table 1 &amp; 2'!E16/'table 1 &amp; 2'!$E$42*100</f>
        <v>7.9712031215675312</v>
      </c>
      <c r="J15" s="565">
        <f t="shared" si="3"/>
        <v>3</v>
      </c>
      <c r="K15" s="415">
        <f>'table 1 &amp; 2'!F16/'table 1 &amp; 2'!$F$42*100</f>
        <v>0</v>
      </c>
      <c r="L15" s="415">
        <f>'table 1 &amp; 2'!G16/'table 1 &amp; 2'!$G$42*100</f>
        <v>0</v>
      </c>
      <c r="M15" s="415">
        <f>'table 1 &amp; 2'!H16/'table 1 &amp; 2'!$H$42*100</f>
        <v>0</v>
      </c>
      <c r="N15" s="177" t="str">
        <f t="shared" si="4"/>
        <v>N/A</v>
      </c>
      <c r="Q15" s="248"/>
      <c r="R15" s="99"/>
      <c r="S15" s="46"/>
      <c r="U15" s="255"/>
      <c r="W15" s="264"/>
      <c r="X15" s="258"/>
      <c r="Z15" s="255"/>
      <c r="AB15" s="264"/>
    </row>
    <row r="16" spans="2:41" x14ac:dyDescent="0.2">
      <c r="B16" s="52" t="s">
        <v>38</v>
      </c>
      <c r="C16" s="414">
        <f>'table 1 &amp; 2'!B17/'table 1 &amp; 2'!$B$42*100</f>
        <v>15.405089730740821</v>
      </c>
      <c r="D16" s="571">
        <f t="shared" si="1"/>
        <v>3</v>
      </c>
      <c r="E16" s="414">
        <f>'table 1 &amp; 2'!C17/'table 1 &amp; 2'!$C$42*100</f>
        <v>2.2043625807708129</v>
      </c>
      <c r="F16" s="567">
        <f t="shared" si="2"/>
        <v>9</v>
      </c>
      <c r="G16" s="414">
        <f>'table 1 &amp; 2'!D17/'table 1 &amp; 2'!$D$42*100</f>
        <v>14.818660308347553</v>
      </c>
      <c r="H16" s="382">
        <f t="shared" si="0"/>
        <v>2</v>
      </c>
      <c r="I16" s="414">
        <f>'table 1 &amp; 2'!E17/'table 1 &amp; 2'!$E$42*100</f>
        <v>6.4775338172732999</v>
      </c>
      <c r="J16" s="566">
        <f t="shared" si="3"/>
        <v>5</v>
      </c>
      <c r="K16" s="414">
        <f>'table 1 &amp; 2'!F17/'table 1 &amp; 2'!$F$42*100</f>
        <v>40.638832056473682</v>
      </c>
      <c r="L16" s="414">
        <f>'table 1 &amp; 2'!G17/'table 1 &amp; 2'!$G$42*100</f>
        <v>40.407989240230634</v>
      </c>
      <c r="M16" s="414">
        <f>'table 1 &amp; 2'!H17/'table 1 &amp; 2'!$H$42*100</f>
        <v>40.593548006361679</v>
      </c>
      <c r="N16" s="382">
        <f t="shared" si="4"/>
        <v>2</v>
      </c>
      <c r="P16" s="52"/>
      <c r="Q16" s="248"/>
      <c r="R16" s="99"/>
      <c r="S16" s="46"/>
      <c r="U16" s="255"/>
      <c r="W16" s="264"/>
      <c r="X16" s="258"/>
      <c r="Z16" s="255"/>
      <c r="AB16" s="264"/>
    </row>
    <row r="17" spans="2:28" x14ac:dyDescent="0.2">
      <c r="B17" t="s">
        <v>39</v>
      </c>
      <c r="C17" s="415">
        <f>'table 1 &amp; 2'!B18/'table 1 &amp; 2'!$B$42*100</f>
        <v>0.93660458151440651</v>
      </c>
      <c r="D17" s="570">
        <f t="shared" si="1"/>
        <v>16</v>
      </c>
      <c r="E17" s="415">
        <f>'table 1 &amp; 2'!C18/'table 1 &amp; 2'!$C$42*100</f>
        <v>1.1080435727407003</v>
      </c>
      <c r="F17" s="568">
        <f t="shared" si="2"/>
        <v>16</v>
      </c>
      <c r="G17" s="415">
        <f>'table 1 &amp; 2'!D18/'table 1 &amp; 2'!$D$42*100</f>
        <v>0.97813493762285131</v>
      </c>
      <c r="H17" s="177">
        <f t="shared" si="0"/>
        <v>22</v>
      </c>
      <c r="I17" s="415">
        <f>'table 1 &amp; 2'!E18/'table 1 &amp; 2'!$E$42*100</f>
        <v>1.0640362205323162</v>
      </c>
      <c r="J17" s="565">
        <f t="shared" si="3"/>
        <v>17</v>
      </c>
      <c r="K17" s="415">
        <f>'table 1 &amp; 2'!F18/'table 1 &amp; 2'!$F$42*100</f>
        <v>0.71789328598509261</v>
      </c>
      <c r="L17" s="415">
        <f>'table 1 &amp; 2'!G18/'table 1 &amp; 2'!$G$42*100</f>
        <v>0</v>
      </c>
      <c r="M17" s="415">
        <f>'table 1 &amp; 2'!H18/'table 1 &amp; 2'!$H$42*100</f>
        <v>0.5770653578446342</v>
      </c>
      <c r="N17" s="177">
        <f t="shared" si="4"/>
        <v>5</v>
      </c>
      <c r="Q17" s="248"/>
      <c r="R17" s="99"/>
      <c r="S17" s="46"/>
      <c r="U17" s="255"/>
      <c r="W17" s="264"/>
      <c r="X17" s="258"/>
      <c r="Z17" s="255"/>
      <c r="AB17" s="264"/>
    </row>
    <row r="18" spans="2:28" x14ac:dyDescent="0.2">
      <c r="B18" s="52" t="s">
        <v>40</v>
      </c>
      <c r="C18" s="414">
        <f>'table 1 &amp; 2'!B19/'table 1 &amp; 2'!$B$42*100</f>
        <v>0.21308569102488789</v>
      </c>
      <c r="D18" s="571">
        <f t="shared" si="1"/>
        <v>27</v>
      </c>
      <c r="E18" s="414">
        <f>'table 1 &amp; 2'!C19/'table 1 &amp; 2'!$C$42*100</f>
        <v>9.2712173934507744E-2</v>
      </c>
      <c r="F18" s="567">
        <f t="shared" si="2"/>
        <v>30</v>
      </c>
      <c r="G18" s="414">
        <f>'table 1 &amp; 2'!D19/'table 1 &amp; 2'!$D$42*100</f>
        <v>0.67099703967657276</v>
      </c>
      <c r="H18" s="382">
        <f t="shared" si="0"/>
        <v>27</v>
      </c>
      <c r="I18" s="414">
        <f>'table 1 &amp; 2'!E19/'table 1 &amp; 2'!$E$42*100</f>
        <v>0.28860974256343569</v>
      </c>
      <c r="J18" s="566">
        <f t="shared" si="3"/>
        <v>27</v>
      </c>
      <c r="K18" s="414">
        <f>'table 1 &amp; 2'!F19/'table 1 &amp; 2'!$F$42*100</f>
        <v>0</v>
      </c>
      <c r="L18" s="414">
        <f>'table 1 &amp; 2'!G19/'table 1 &amp; 2'!$G$42*100</f>
        <v>0</v>
      </c>
      <c r="M18" s="414">
        <f>'table 1 &amp; 2'!H19/'table 1 &amp; 2'!$H$42*100</f>
        <v>0</v>
      </c>
      <c r="N18" s="382" t="str">
        <f t="shared" si="4"/>
        <v>N/A</v>
      </c>
      <c r="P18" s="52"/>
      <c r="Q18" s="248"/>
      <c r="R18" s="99"/>
      <c r="S18" s="46"/>
      <c r="U18" s="255"/>
      <c r="W18" s="264"/>
      <c r="X18" s="258"/>
      <c r="Z18" s="255"/>
      <c r="AB18" s="264"/>
    </row>
    <row r="19" spans="2:28" x14ac:dyDescent="0.2">
      <c r="B19" t="s">
        <v>41</v>
      </c>
      <c r="C19" s="415">
        <f>'table 1 &amp; 2'!B20/'table 1 &amp; 2'!$B$42*100</f>
        <v>8.6416570599890982E-2</v>
      </c>
      <c r="D19" s="570">
        <f t="shared" si="1"/>
        <v>33</v>
      </c>
      <c r="E19" s="415">
        <f>'table 1 &amp; 2'!C20/'table 1 &amp; 2'!$C$42*100</f>
        <v>1.3619985895534021E-2</v>
      </c>
      <c r="F19" s="568">
        <f t="shared" si="2"/>
        <v>33</v>
      </c>
      <c r="G19" s="415">
        <f>'table 1 &amp; 2'!D20/'table 1 &amp; 2'!$D$42*100</f>
        <v>0.24209660057933718</v>
      </c>
      <c r="H19" s="177">
        <f t="shared" si="0"/>
        <v>33</v>
      </c>
      <c r="I19" s="415">
        <f>'table 1 &amp; 2'!E20/'table 1 &amp; 2'!$E$42*100</f>
        <v>9.1017849745370735E-2</v>
      </c>
      <c r="J19" s="565">
        <f t="shared" si="3"/>
        <v>33</v>
      </c>
      <c r="K19" s="415">
        <f>'table 1 &amp; 2'!F20/'table 1 &amp; 2'!$F$42*100</f>
        <v>7.4470288011692837E-2</v>
      </c>
      <c r="L19" s="415">
        <f>'table 1 &amp; 2'!G20/'table 1 &amp; 2'!$G$42*100</f>
        <v>6.9189638087337815E-2</v>
      </c>
      <c r="M19" s="415">
        <f>'table 1 &amp; 2'!H20/'table 1 &amp; 2'!$H$42*100</f>
        <v>7.3434391726548545E-2</v>
      </c>
      <c r="N19" s="177">
        <f t="shared" si="4"/>
        <v>10</v>
      </c>
      <c r="Q19" s="248"/>
      <c r="R19" s="99"/>
      <c r="S19" s="46"/>
      <c r="U19" s="255"/>
      <c r="W19" s="264"/>
      <c r="X19" s="258"/>
      <c r="Z19" s="255"/>
      <c r="AB19" s="264"/>
    </row>
    <row r="20" spans="2:28" x14ac:dyDescent="0.2">
      <c r="B20" s="52" t="s">
        <v>42</v>
      </c>
      <c r="C20" s="414">
        <f>'table 1 &amp; 2'!B21/'table 1 &amp; 2'!$B$42*100</f>
        <v>0.21181673154760777</v>
      </c>
      <c r="D20" s="571">
        <f t="shared" si="1"/>
        <v>28</v>
      </c>
      <c r="E20" s="414">
        <f>'table 1 &amp; 2'!C21/'table 1 &amp; 2'!$C$42*100</f>
        <v>6.4611287830356592E-2</v>
      </c>
      <c r="F20" s="567">
        <f t="shared" si="2"/>
        <v>31</v>
      </c>
      <c r="G20" s="414">
        <f>'table 1 &amp; 2'!D21/'table 1 &amp; 2'!$D$42*100</f>
        <v>0.72077567519905661</v>
      </c>
      <c r="H20" s="382">
        <f t="shared" si="0"/>
        <v>23</v>
      </c>
      <c r="I20" s="414">
        <f>'table 1 &amp; 2'!E21/'table 1 &amp; 2'!$E$42*100</f>
        <v>0.28689102524225024</v>
      </c>
      <c r="J20" s="566">
        <f t="shared" si="3"/>
        <v>28</v>
      </c>
      <c r="K20" s="414">
        <f>'table 1 &amp; 2'!F21/'table 1 &amp; 2'!$F$42*100</f>
        <v>0</v>
      </c>
      <c r="L20" s="414">
        <f>'table 1 &amp; 2'!G21/'table 1 &amp; 2'!$G$42*100</f>
        <v>0</v>
      </c>
      <c r="M20" s="414">
        <f>'table 1 &amp; 2'!H21/'table 1 &amp; 2'!$H$42*100</f>
        <v>0</v>
      </c>
      <c r="N20" s="382" t="str">
        <f t="shared" si="4"/>
        <v>N/A</v>
      </c>
      <c r="P20" s="52"/>
      <c r="Q20" s="248"/>
      <c r="R20" s="99"/>
      <c r="S20" s="46"/>
      <c r="U20" s="255"/>
      <c r="W20" s="264"/>
      <c r="X20" s="258"/>
      <c r="Z20" s="255"/>
      <c r="AB20" s="264"/>
    </row>
    <row r="21" spans="2:28" x14ac:dyDescent="0.2">
      <c r="B21" t="s">
        <v>43</v>
      </c>
      <c r="C21" s="415">
        <f>'table 1 &amp; 2'!B22/'table 1 &amp; 2'!$B$42*100</f>
        <v>17.160110446306359</v>
      </c>
      <c r="D21" s="570">
        <f t="shared" si="1"/>
        <v>2</v>
      </c>
      <c r="E21" s="415">
        <f>'table 1 &amp; 2'!C22/'table 1 &amp; 2'!$C$42*100</f>
        <v>1.7816493258444019</v>
      </c>
      <c r="F21" s="568">
        <f t="shared" si="2"/>
        <v>13</v>
      </c>
      <c r="G21" s="415">
        <f>'table 1 &amp; 2'!D22/'table 1 &amp; 2'!$D$42*100</f>
        <v>9.8106214195338293</v>
      </c>
      <c r="H21" s="177">
        <f t="shared" si="0"/>
        <v>3</v>
      </c>
      <c r="I21" s="415">
        <f>'table 1 &amp; 2'!E22/'table 1 &amp; 2'!$E$42*100</f>
        <v>4.5015131938447439</v>
      </c>
      <c r="J21" s="565">
        <f t="shared" si="3"/>
        <v>7</v>
      </c>
      <c r="K21" s="415">
        <f>'table 1 &amp; 2'!F22/'table 1 &amp; 2'!$F$42*100</f>
        <v>52.714107513856547</v>
      </c>
      <c r="L21" s="415">
        <f>'table 1 &amp; 2'!G22/'table 1 &amp; 2'!$G$42*100</f>
        <v>53.536495951653983</v>
      </c>
      <c r="M21" s="415">
        <f>'table 1 &amp; 2'!H22/'table 1 &amp; 2'!$H$42*100</f>
        <v>52.875434081582775</v>
      </c>
      <c r="N21" s="177">
        <f t="shared" si="4"/>
        <v>1</v>
      </c>
      <c r="Q21" s="248"/>
      <c r="R21" s="99"/>
      <c r="S21" s="46"/>
      <c r="U21" s="255"/>
      <c r="W21" s="264"/>
      <c r="X21" s="258"/>
      <c r="Z21" s="255"/>
      <c r="AB21" s="264"/>
    </row>
    <row r="22" spans="2:28" x14ac:dyDescent="0.2">
      <c r="B22" s="52" t="s">
        <v>44</v>
      </c>
      <c r="C22" s="414">
        <f>'table 1 &amp; 2'!B23/'table 1 &amp; 2'!$B$42*100</f>
        <v>1.7124351993338405</v>
      </c>
      <c r="D22" s="571">
        <f t="shared" si="1"/>
        <v>10</v>
      </c>
      <c r="E22" s="414">
        <f>'table 1 &amp; 2'!C23/'table 1 &amp; 2'!$C$42*100</f>
        <v>2.3882112761572301</v>
      </c>
      <c r="F22" s="567">
        <f t="shared" si="2"/>
        <v>8</v>
      </c>
      <c r="G22" s="414">
        <f>'table 1 &amp; 2'!D23/'table 1 &amp; 2'!$D$42*100</f>
        <v>2.1850062851562937</v>
      </c>
      <c r="H22" s="382">
        <f t="shared" si="0"/>
        <v>11</v>
      </c>
      <c r="I22" s="414">
        <f>'table 1 &amp; 2'!E23/'table 1 &amp; 2'!$E$42*100</f>
        <v>2.3193743308581944</v>
      </c>
      <c r="J22" s="566">
        <f t="shared" si="3"/>
        <v>10</v>
      </c>
      <c r="K22" s="414">
        <f>'table 1 &amp; 2'!F23/'table 1 &amp; 2'!$F$42*100</f>
        <v>0</v>
      </c>
      <c r="L22" s="414">
        <f>'table 1 &amp; 2'!G23/'table 1 &amp; 2'!$G$42*100</f>
        <v>0</v>
      </c>
      <c r="M22" s="414">
        <f>'table 1 &amp; 2'!H23/'table 1 &amp; 2'!$H$42*100</f>
        <v>0</v>
      </c>
      <c r="N22" s="382" t="str">
        <f t="shared" si="4"/>
        <v>N/A</v>
      </c>
      <c r="P22" s="52"/>
      <c r="Q22" s="248"/>
      <c r="R22" s="99"/>
      <c r="S22" s="46"/>
      <c r="U22" s="255"/>
      <c r="W22" s="264"/>
      <c r="X22" s="258"/>
      <c r="Z22" s="255"/>
      <c r="AB22" s="264"/>
    </row>
    <row r="23" spans="2:28" x14ac:dyDescent="0.2">
      <c r="B23" t="s">
        <v>45</v>
      </c>
      <c r="C23" s="415">
        <f>'table 1 &amp; 2'!B24/'table 1 &amp; 2'!$B$42*100</f>
        <v>1.040924314526211</v>
      </c>
      <c r="D23" s="570">
        <f t="shared" si="1"/>
        <v>15</v>
      </c>
      <c r="E23" s="415">
        <f>'table 1 &amp; 2'!C24/'table 1 &amp; 2'!$C$42*100</f>
        <v>1.8703763313019321</v>
      </c>
      <c r="F23" s="568">
        <f t="shared" si="2"/>
        <v>11</v>
      </c>
      <c r="G23" s="415">
        <f>'table 1 &amp; 2'!D24/'table 1 &amp; 2'!$D$42*100</f>
        <v>0.51094200280205637</v>
      </c>
      <c r="H23" s="177">
        <f t="shared" si="0"/>
        <v>29</v>
      </c>
      <c r="I23" s="415">
        <f>'table 1 &amp; 2'!E24/'table 1 &amp; 2'!$E$42*100</f>
        <v>1.409859559309133</v>
      </c>
      <c r="J23" s="565">
        <f t="shared" si="3"/>
        <v>14</v>
      </c>
      <c r="K23" s="415">
        <f>'table 1 &amp; 2'!F24/'table 1 &amp; 2'!$F$42*100</f>
        <v>0</v>
      </c>
      <c r="L23" s="415">
        <f>'table 1 &amp; 2'!G24/'table 1 &amp; 2'!$G$42*100</f>
        <v>0</v>
      </c>
      <c r="M23" s="415">
        <f>'table 1 &amp; 2'!H24/'table 1 &amp; 2'!$H$42*100</f>
        <v>0</v>
      </c>
      <c r="N23" s="177" t="str">
        <f t="shared" si="4"/>
        <v>N/A</v>
      </c>
      <c r="Q23" s="248"/>
      <c r="R23" s="99"/>
      <c r="S23" s="46"/>
      <c r="U23" s="256"/>
      <c r="W23" s="264"/>
      <c r="X23" s="258"/>
      <c r="Z23" s="256"/>
      <c r="AB23" s="264"/>
    </row>
    <row r="24" spans="2:28" ht="13.5" thickBot="1" x14ac:dyDescent="0.25">
      <c r="B24" s="52" t="s">
        <v>46</v>
      </c>
      <c r="C24" s="414">
        <f>'table 1 &amp; 2'!B25/'table 1 &amp; 2'!$B$42*100</f>
        <v>0.72694978025862755</v>
      </c>
      <c r="D24" s="571">
        <f t="shared" si="1"/>
        <v>21</v>
      </c>
      <c r="E24" s="414">
        <f>'table 1 &amp; 2'!C25/'table 1 &amp; 2'!$C$42*100</f>
        <v>0.65078332294816088</v>
      </c>
      <c r="F24" s="567">
        <f t="shared" si="2"/>
        <v>20</v>
      </c>
      <c r="G24" s="414">
        <f>'table 1 &amp; 2'!D25/'table 1 &amp; 2'!$D$42*100</f>
        <v>1.636210603019292</v>
      </c>
      <c r="H24" s="382">
        <f t="shared" si="0"/>
        <v>16</v>
      </c>
      <c r="I24" s="414">
        <f>'table 1 &amp; 2'!E25/'table 1 &amp; 2'!$E$42*100</f>
        <v>0.98460289814806912</v>
      </c>
      <c r="J24" s="566">
        <f t="shared" si="3"/>
        <v>20</v>
      </c>
      <c r="K24" s="414">
        <f>'table 1 &amp; 2'!F25/'table 1 &amp; 2'!$F$42*100</f>
        <v>0</v>
      </c>
      <c r="L24" s="414">
        <f>'table 1 &amp; 2'!G25/'table 1 &amp; 2'!$G$42*100</f>
        <v>0</v>
      </c>
      <c r="M24" s="414">
        <f>'table 1 &amp; 2'!H25/'table 1 &amp; 2'!$H$42*100</f>
        <v>0</v>
      </c>
      <c r="N24" s="382" t="str">
        <f t="shared" si="4"/>
        <v>N/A</v>
      </c>
      <c r="P24" s="52"/>
      <c r="Q24" s="248"/>
      <c r="R24" s="99"/>
      <c r="S24" s="46"/>
      <c r="T24" s="47"/>
      <c r="U24" s="257"/>
      <c r="V24" s="47"/>
      <c r="W24" s="265"/>
      <c r="X24" s="259"/>
      <c r="Y24" s="47"/>
      <c r="Z24" s="257"/>
      <c r="AA24" s="47"/>
      <c r="AB24" s="265"/>
    </row>
    <row r="25" spans="2:28" x14ac:dyDescent="0.2">
      <c r="B25" t="s">
        <v>47</v>
      </c>
      <c r="C25" s="415">
        <f>'table 1 &amp; 2'!B26/'table 1 &amp; 2'!$B$42*100</f>
        <v>0.84157244833715195</v>
      </c>
      <c r="D25" s="570">
        <f t="shared" si="1"/>
        <v>17</v>
      </c>
      <c r="E25" s="415">
        <f>'table 1 &amp; 2'!C26/'table 1 &amp; 2'!$C$42*100</f>
        <v>0.6570290081812028</v>
      </c>
      <c r="F25" s="568">
        <f t="shared" si="2"/>
        <v>19</v>
      </c>
      <c r="G25" s="415">
        <f>'table 1 &amp; 2'!D26/'table 1 &amp; 2'!$D$42*100</f>
        <v>2.0812322799564984</v>
      </c>
      <c r="H25" s="177">
        <f t="shared" si="0"/>
        <v>12</v>
      </c>
      <c r="I25" s="415">
        <f>'table 1 &amp; 2'!E26/'table 1 &amp; 2'!$E$42*100</f>
        <v>1.1394866595951469</v>
      </c>
      <c r="J25" s="565">
        <f t="shared" si="3"/>
        <v>16</v>
      </c>
      <c r="K25" s="415">
        <f>'table 1 &amp; 2'!F26/'table 1 &amp; 2'!$F$42*100</f>
        <v>1.0468520869901371E-3</v>
      </c>
      <c r="L25" s="415">
        <f>'table 1 &amp; 2'!G26/'table 1 &amp; 2'!$G$42*100</f>
        <v>9.5525018028960696E-4</v>
      </c>
      <c r="M25" s="415">
        <f>'table 1 &amp; 2'!H26/'table 1 &amp; 2'!$H$42*100</f>
        <v>1.028882693786174E-3</v>
      </c>
      <c r="N25" s="177">
        <f t="shared" si="4"/>
        <v>13</v>
      </c>
      <c r="Q25" s="248"/>
      <c r="R25" s="99"/>
      <c r="S25" s="46"/>
    </row>
    <row r="26" spans="2:28" x14ac:dyDescent="0.2">
      <c r="B26" s="52" t="s">
        <v>48</v>
      </c>
      <c r="C26" s="414">
        <f>'table 1 &amp; 2'!B27/'table 1 &amp; 2'!$B$42*100</f>
        <v>0.17987501381249341</v>
      </c>
      <c r="D26" s="571">
        <f t="shared" si="1"/>
        <v>30</v>
      </c>
      <c r="E26" s="414">
        <f>'table 1 &amp; 2'!C27/'table 1 &amp; 2'!$C$42*100</f>
        <v>0.20012186969118007</v>
      </c>
      <c r="F26" s="567">
        <f t="shared" si="2"/>
        <v>27</v>
      </c>
      <c r="G26" s="414">
        <f>'table 1 &amp; 2'!D27/'table 1 &amp; 2'!$D$42*100</f>
        <v>0.32855147372701898</v>
      </c>
      <c r="H26" s="382">
        <f t="shared" si="0"/>
        <v>31</v>
      </c>
      <c r="I26" s="414">
        <f>'table 1 &amp; 2'!E27/'table 1 &amp; 2'!$E$42*100</f>
        <v>0.24362819098892366</v>
      </c>
      <c r="J26" s="566">
        <f t="shared" si="3"/>
        <v>30</v>
      </c>
      <c r="K26" s="414">
        <f>'table 1 &amp; 2'!F27/'table 1 &amp; 2'!$F$42*100</f>
        <v>0</v>
      </c>
      <c r="L26" s="414">
        <f>'table 1 &amp; 2'!G27/'table 1 &amp; 2'!$G$42*100</f>
        <v>0</v>
      </c>
      <c r="M26" s="414">
        <f>'table 1 &amp; 2'!H27/'table 1 &amp; 2'!$H$42*100</f>
        <v>0</v>
      </c>
      <c r="N26" s="382" t="str">
        <f t="shared" si="4"/>
        <v>N/A</v>
      </c>
      <c r="P26" s="52"/>
      <c r="Q26" s="248"/>
      <c r="R26" s="99"/>
      <c r="S26" s="46"/>
    </row>
    <row r="27" spans="2:28" x14ac:dyDescent="0.2">
      <c r="B27" t="s">
        <v>49</v>
      </c>
      <c r="C27" s="415">
        <f>'table 1 &amp; 2'!B28/'table 1 &amp; 2'!$B$42*100</f>
        <v>1.5437232753160242</v>
      </c>
      <c r="D27" s="570">
        <f t="shared" si="1"/>
        <v>13</v>
      </c>
      <c r="E27" s="415">
        <f>'table 1 &amp; 2'!C28/'table 1 &amp; 2'!$C$42*100</f>
        <v>2.148901223010149</v>
      </c>
      <c r="F27" s="568">
        <f t="shared" si="2"/>
        <v>10</v>
      </c>
      <c r="G27" s="415">
        <f>'table 1 &amp; 2'!D28/'table 1 &amp; 2'!$D$42*100</f>
        <v>1.9775819699373747</v>
      </c>
      <c r="H27" s="177">
        <f t="shared" si="0"/>
        <v>13</v>
      </c>
      <c r="I27" s="415">
        <f>'table 1 &amp; 2'!E28/'table 1 &amp; 2'!$E$42*100</f>
        <v>2.0908657682983707</v>
      </c>
      <c r="J27" s="565">
        <f t="shared" si="3"/>
        <v>12</v>
      </c>
      <c r="K27" s="415">
        <f>'table 1 &amp; 2'!F28/'table 1 &amp; 2'!$F$42*100</f>
        <v>0</v>
      </c>
      <c r="L27" s="415">
        <f>'table 1 &amp; 2'!G28/'table 1 &amp; 2'!$G$42*100</f>
        <v>0</v>
      </c>
      <c r="M27" s="415">
        <f>'table 1 &amp; 2'!H28/'table 1 &amp; 2'!$H$42*100</f>
        <v>0</v>
      </c>
      <c r="N27" s="177" t="str">
        <f t="shared" si="4"/>
        <v>N/A</v>
      </c>
      <c r="Q27" s="248"/>
      <c r="R27" s="99"/>
      <c r="S27" s="46"/>
      <c r="U27" s="181"/>
    </row>
    <row r="28" spans="2:28" x14ac:dyDescent="0.2">
      <c r="B28" s="52" t="s">
        <v>50</v>
      </c>
      <c r="C28" s="414">
        <f>'table 1 &amp; 2'!B29/'table 1 &amp; 2'!$B$42*100</f>
        <v>0.28572292830588181</v>
      </c>
      <c r="D28" s="571">
        <f t="shared" si="1"/>
        <v>26</v>
      </c>
      <c r="E28" s="414">
        <f>'table 1 &amp; 2'!C29/'table 1 &amp; 2'!$C$42*100</f>
        <v>0.2170137020695736</v>
      </c>
      <c r="F28" s="567">
        <f t="shared" si="2"/>
        <v>26</v>
      </c>
      <c r="G28" s="414">
        <f>'table 1 &amp; 2'!D29/'table 1 &amp; 2'!$D$42*100</f>
        <v>0.71397724623885839</v>
      </c>
      <c r="H28" s="382">
        <f t="shared" si="0"/>
        <v>24</v>
      </c>
      <c r="I28" s="414">
        <f>'table 1 &amp; 2'!E29/'table 1 &amp; 2'!$E$42*100</f>
        <v>0.3853631709339394</v>
      </c>
      <c r="J28" s="566">
        <f t="shared" si="3"/>
        <v>26</v>
      </c>
      <c r="K28" s="414">
        <f>'table 1 &amp; 2'!F29/'table 1 &amp; 2'!$F$42*100</f>
        <v>4.6319145940409137E-3</v>
      </c>
      <c r="L28" s="414">
        <f>'table 1 &amp; 2'!G29/'table 1 &amp; 2'!$G$42*100</f>
        <v>4.4444243747372878E-3</v>
      </c>
      <c r="M28" s="414">
        <f>'table 1 &amp; 2'!H29/'table 1 &amp; 2'!$H$42*100</f>
        <v>4.5951349505387483E-3</v>
      </c>
      <c r="N28" s="382">
        <f t="shared" si="4"/>
        <v>12</v>
      </c>
      <c r="P28" s="52"/>
      <c r="Q28" s="248"/>
      <c r="R28" s="99"/>
      <c r="S28" s="46"/>
      <c r="U28" s="181"/>
    </row>
    <row r="29" spans="2:28" x14ac:dyDescent="0.2">
      <c r="B29" t="s">
        <v>51</v>
      </c>
      <c r="C29" s="415">
        <f>'table 1 &amp; 2'!B30/'table 1 &amp; 2'!$B$42*100</f>
        <v>1.5632478120150537</v>
      </c>
      <c r="D29" s="570">
        <f t="shared" si="1"/>
        <v>12</v>
      </c>
      <c r="E29" s="415">
        <f>'table 1 &amp; 2'!C30/'table 1 &amp; 2'!$C$42*100</f>
        <v>1.3129348758855546</v>
      </c>
      <c r="F29" s="568">
        <f t="shared" si="2"/>
        <v>15</v>
      </c>
      <c r="G29" s="415">
        <f>'table 1 &amp; 2'!D30/'table 1 &amp; 2'!$D$42*100</f>
        <v>1.5850133235724235</v>
      </c>
      <c r="H29" s="177">
        <f t="shared" si="0"/>
        <v>17</v>
      </c>
      <c r="I29" s="415">
        <f>'table 1 &amp; 2'!E30/'table 1 &amp; 2'!$E$42*100</f>
        <v>1.4051031298650112</v>
      </c>
      <c r="J29" s="565">
        <f t="shared" si="3"/>
        <v>15</v>
      </c>
      <c r="K29" s="415">
        <f>'table 1 &amp; 2'!F30/'table 1 &amp; 2'!$F$42*100</f>
        <v>1.9878407726487752</v>
      </c>
      <c r="L29" s="415">
        <f>'table 1 &amp; 2'!G30/'table 1 &amp; 2'!$G$42*100</f>
        <v>2.0979549270371951</v>
      </c>
      <c r="M29" s="415">
        <f>'table 1 &amp; 2'!H30/'table 1 &amp; 2'!$H$42*100</f>
        <v>2.0094416825948556</v>
      </c>
      <c r="N29" s="177">
        <f t="shared" si="4"/>
        <v>4</v>
      </c>
      <c r="Q29" s="248"/>
      <c r="R29" s="99"/>
      <c r="S29" s="46"/>
      <c r="U29" s="181"/>
    </row>
    <row r="30" spans="2:28" x14ac:dyDescent="0.2">
      <c r="B30" s="52" t="s">
        <v>52</v>
      </c>
      <c r="C30" s="414">
        <f>'table 1 &amp; 2'!B31/'table 1 &amp; 2'!$B$42*100</f>
        <v>0.73921443111200658</v>
      </c>
      <c r="D30" s="571">
        <f t="shared" si="1"/>
        <v>20</v>
      </c>
      <c r="E30" s="414">
        <f>'table 1 &amp; 2'!C31/'table 1 &amp; 2'!$C$42*100</f>
        <v>0.46649609218900495</v>
      </c>
      <c r="F30" s="567">
        <f t="shared" si="2"/>
        <v>22</v>
      </c>
      <c r="G30" s="414">
        <f>'table 1 &amp; 2'!D31/'table 1 &amp; 2'!$D$42*100</f>
        <v>1.9647270572562343</v>
      </c>
      <c r="H30" s="382">
        <f t="shared" si="0"/>
        <v>14</v>
      </c>
      <c r="I30" s="414">
        <f>'table 1 &amp; 2'!E31/'table 1 &amp; 2'!$E$42*100</f>
        <v>0.97403108175615982</v>
      </c>
      <c r="J30" s="566">
        <f t="shared" si="3"/>
        <v>21</v>
      </c>
      <c r="K30" s="414">
        <f>'table 1 &amp; 2'!F31/'table 1 &amp; 2'!$F$42*100</f>
        <v>7.7271346014541109E-2</v>
      </c>
      <c r="L30" s="414">
        <f>'table 1 &amp; 2'!G31/'table 1 &amp; 2'!$G$42*100</f>
        <v>7.4338957252534407E-2</v>
      </c>
      <c r="M30" s="414">
        <f>'table 1 &amp; 2'!H31/'table 1 &amp; 2'!$H$42*100</f>
        <v>7.6696104203651208E-2</v>
      </c>
      <c r="N30" s="382">
        <f t="shared" si="4"/>
        <v>9</v>
      </c>
      <c r="P30" s="52"/>
      <c r="Q30" s="248"/>
      <c r="R30" s="99"/>
      <c r="S30" s="46"/>
      <c r="U30" s="181"/>
    </row>
    <row r="31" spans="2:28" x14ac:dyDescent="0.2">
      <c r="B31" t="s">
        <v>53</v>
      </c>
      <c r="C31" s="415">
        <f>'table 1 &amp; 2'!B32/'table 1 &amp; 2'!$B$42*100</f>
        <v>4.3925054651899647</v>
      </c>
      <c r="D31" s="570">
        <f t="shared" si="1"/>
        <v>7</v>
      </c>
      <c r="E31" s="415">
        <f>'table 1 &amp; 2'!C32/'table 1 &amp; 2'!$C$42*100</f>
        <v>3.7403115008274055</v>
      </c>
      <c r="F31" s="568">
        <f t="shared" si="2"/>
        <v>5</v>
      </c>
      <c r="G31" s="415">
        <f>'table 1 &amp; 2'!D32/'table 1 &amp; 2'!$D$42*100</f>
        <v>7.3005208427077974</v>
      </c>
      <c r="H31" s="177">
        <f t="shared" si="0"/>
        <v>5</v>
      </c>
      <c r="I31" s="415">
        <f>'table 1 &amp; 2'!E32/'table 1 &amp; 2'!$E$42*100</f>
        <v>4.9463543962945078</v>
      </c>
      <c r="J31" s="565">
        <f t="shared" si="3"/>
        <v>6</v>
      </c>
      <c r="K31" s="415">
        <f>'table 1 &amp; 2'!F32/'table 1 &amp; 2'!$F$42*100</f>
        <v>2.827887044296217</v>
      </c>
      <c r="L31" s="415">
        <f>'table 1 &amp; 2'!G32/'table 1 &amp; 2'!$G$42*100</f>
        <v>2.8379468318476024</v>
      </c>
      <c r="M31" s="415">
        <f>'table 1 &amp; 2'!H32/'table 1 &amp; 2'!$H$42*100</f>
        <v>2.8298604560358891</v>
      </c>
      <c r="N31" s="177">
        <f t="shared" si="4"/>
        <v>3</v>
      </c>
      <c r="Q31" s="248"/>
      <c r="R31" s="99"/>
      <c r="S31" s="46"/>
      <c r="U31" s="181"/>
    </row>
    <row r="32" spans="2:28" x14ac:dyDescent="0.2">
      <c r="B32" s="52" t="s">
        <v>54</v>
      </c>
      <c r="C32" s="414">
        <f>'table 1 &amp; 2'!B33/'table 1 &amp; 2'!$B$42*100</f>
        <v>0.78074134386186456</v>
      </c>
      <c r="D32" s="571">
        <f t="shared" si="1"/>
        <v>19</v>
      </c>
      <c r="E32" s="414">
        <f>'table 1 &amp; 2'!C33/'table 1 &amp; 2'!$C$42*100</f>
        <v>1.0695219173264843</v>
      </c>
      <c r="F32" s="567">
        <f t="shared" si="2"/>
        <v>17</v>
      </c>
      <c r="G32" s="414">
        <f>'table 1 &amp; 2'!D33/'table 1 &amp; 2'!$D$42*100</f>
        <v>1.0339149236409615</v>
      </c>
      <c r="H32" s="382">
        <f t="shared" si="0"/>
        <v>19</v>
      </c>
      <c r="I32" s="414">
        <f>'table 1 &amp; 2'!E33/'table 1 &amp; 2'!$E$42*100</f>
        <v>1.0574598283762078</v>
      </c>
      <c r="J32" s="566">
        <f t="shared" si="3"/>
        <v>18</v>
      </c>
      <c r="K32" s="414">
        <f>'table 1 &amp; 2'!F33/'table 1 &amp; 2'!$F$42*100</f>
        <v>0</v>
      </c>
      <c r="L32" s="414">
        <f>'table 1 &amp; 2'!G33/'table 1 &amp; 2'!$G$42*100</f>
        <v>0</v>
      </c>
      <c r="M32" s="414">
        <f>'table 1 &amp; 2'!H33/'table 1 &amp; 2'!$H$42*100</f>
        <v>0</v>
      </c>
      <c r="N32" s="382" t="str">
        <f t="shared" si="4"/>
        <v>N/A</v>
      </c>
      <c r="P32" s="52"/>
      <c r="Q32" s="248"/>
      <c r="R32" s="99"/>
      <c r="S32" s="46"/>
    </row>
    <row r="33" spans="2:19" x14ac:dyDescent="0.2">
      <c r="B33" t="s">
        <v>55</v>
      </c>
      <c r="C33" s="415">
        <f>'table 1 &amp; 2'!B34/'table 1 &amp; 2'!$B$42*100</f>
        <v>5.1514758447049873</v>
      </c>
      <c r="D33" s="570">
        <f t="shared" si="1"/>
        <v>6</v>
      </c>
      <c r="E33" s="415">
        <f>'table 1 &amp; 2'!C34/'table 1 &amp; 2'!$C$42*100</f>
        <v>8.1951146525206156</v>
      </c>
      <c r="F33" s="568">
        <f t="shared" si="2"/>
        <v>4</v>
      </c>
      <c r="G33" s="415">
        <f>'table 1 &amp; 2'!D34/'table 1 &amp; 2'!$D$42*100</f>
        <v>4.0651359882974853</v>
      </c>
      <c r="H33" s="177">
        <f t="shared" si="0"/>
        <v>7</v>
      </c>
      <c r="I33" s="415">
        <f>'table 1 &amp; 2'!E34/'table 1 &amp; 2'!$E$42*100</f>
        <v>6.7960588813264859</v>
      </c>
      <c r="J33" s="565">
        <f t="shared" si="3"/>
        <v>4</v>
      </c>
      <c r="K33" s="415">
        <f>'table 1 &amp; 2'!F34/'table 1 &amp; 2'!$F$42*100</f>
        <v>0.50721473179190368</v>
      </c>
      <c r="L33" s="415">
        <f>'table 1 &amp; 2'!G34/'table 1 &amp; 2'!$G$42*100</f>
        <v>0.52856429127038052</v>
      </c>
      <c r="M33" s="415">
        <f>'table 1 &amp; 2'!H34/'table 1 &amp; 2'!$H$42*100</f>
        <v>0.51140283925405905</v>
      </c>
      <c r="N33" s="177">
        <f t="shared" si="4"/>
        <v>6</v>
      </c>
      <c r="Q33" s="248"/>
      <c r="R33" s="99"/>
      <c r="S33" s="46"/>
    </row>
    <row r="34" spans="2:19" x14ac:dyDescent="0.2">
      <c r="B34" s="52" t="s">
        <v>56</v>
      </c>
      <c r="C34" s="414">
        <f>'table 1 &amp; 2'!B35/'table 1 &amp; 2'!$B$42*100</f>
        <v>9.8047312900714356</v>
      </c>
      <c r="D34" s="571">
        <f t="shared" si="1"/>
        <v>4</v>
      </c>
      <c r="E34" s="414">
        <f>'table 1 &amp; 2'!C35/'table 1 &amp; 2'!$C$42*100</f>
        <v>16.302243755336779</v>
      </c>
      <c r="F34" s="567">
        <f t="shared" si="2"/>
        <v>2</v>
      </c>
      <c r="G34" s="414">
        <f>'table 1 &amp; 2'!D35/'table 1 &amp; 2'!$D$42*100</f>
        <v>7.3801409529886408</v>
      </c>
      <c r="H34" s="382">
        <f t="shared" si="0"/>
        <v>4</v>
      </c>
      <c r="I34" s="414">
        <f>'table 1 &amp; 2'!E35/'table 1 &amp; 2'!$E$42*100</f>
        <v>13.279826345545992</v>
      </c>
      <c r="J34" s="566">
        <f t="shared" si="3"/>
        <v>2</v>
      </c>
      <c r="K34" s="414">
        <f>'table 1 &amp; 2'!F35/'table 1 &amp; 2'!$F$42*100</f>
        <v>0</v>
      </c>
      <c r="L34" s="414">
        <f>'table 1 &amp; 2'!G35/'table 1 &amp; 2'!$G$42*100</f>
        <v>0</v>
      </c>
      <c r="M34" s="414">
        <f>'table 1 &amp; 2'!H35/'table 1 &amp; 2'!$H$42*100</f>
        <v>0</v>
      </c>
      <c r="N34" s="382" t="str">
        <f t="shared" si="4"/>
        <v>N/A</v>
      </c>
      <c r="P34" s="52"/>
      <c r="Q34" s="248"/>
      <c r="R34" s="99"/>
      <c r="S34" s="46"/>
    </row>
    <row r="35" spans="2:19" x14ac:dyDescent="0.2">
      <c r="B35" t="s">
        <v>57</v>
      </c>
      <c r="C35" s="415">
        <f>'table 1 &amp; 2'!B36/'table 1 &amp; 2'!$B$42*100</f>
        <v>0.39758913661798778</v>
      </c>
      <c r="D35" s="570">
        <f t="shared" si="1"/>
        <v>24</v>
      </c>
      <c r="E35" s="415">
        <f>'table 1 &amp; 2'!C36/'table 1 &amp; 2'!$C$42*100</f>
        <v>0.46849645382211985</v>
      </c>
      <c r="F35" s="568">
        <f t="shared" si="2"/>
        <v>21</v>
      </c>
      <c r="G35" s="415">
        <f>'table 1 &amp; 2'!D36/'table 1 &amp; 2'!$D$42*100</f>
        <v>0.67516536174644726</v>
      </c>
      <c r="H35" s="177">
        <f t="shared" si="0"/>
        <v>26</v>
      </c>
      <c r="I35" s="415">
        <f>'table 1 &amp; 2'!E36/'table 1 &amp; 2'!$E$42*100</f>
        <v>0.53850682236534508</v>
      </c>
      <c r="J35" s="565">
        <f t="shared" si="3"/>
        <v>24</v>
      </c>
      <c r="K35" s="415">
        <f>'table 1 &amp; 2'!F36/'table 1 &amp; 2'!$F$42*100</f>
        <v>0</v>
      </c>
      <c r="L35" s="415">
        <f>'table 1 &amp; 2'!G36/'table 1 &amp; 2'!$G$42*100</f>
        <v>0</v>
      </c>
      <c r="M35" s="415">
        <f>'table 1 &amp; 2'!H36/'table 1 &amp; 2'!$H$42*100</f>
        <v>0</v>
      </c>
      <c r="N35" s="177" t="str">
        <f t="shared" si="4"/>
        <v>N/A</v>
      </c>
      <c r="Q35" s="248"/>
      <c r="R35" s="99"/>
      <c r="S35" s="46"/>
    </row>
    <row r="36" spans="2:19" x14ac:dyDescent="0.2">
      <c r="B36" s="52" t="s">
        <v>58</v>
      </c>
      <c r="C36" s="414">
        <f>'table 1 &amp; 2'!B37/'table 1 &amp; 2'!$B$42*100</f>
        <v>0.36291401894706299</v>
      </c>
      <c r="D36" s="571">
        <f t="shared" si="1"/>
        <v>25</v>
      </c>
      <c r="E36" s="414">
        <f>'table 1 &amp; 2'!C37/'table 1 &amp; 2'!$C$42*100</f>
        <v>0.38872309930099602</v>
      </c>
      <c r="F36" s="567">
        <f t="shared" si="2"/>
        <v>24</v>
      </c>
      <c r="G36" s="414">
        <f>'table 1 &amp; 2'!D37/'table 1 &amp; 2'!$D$42*100</f>
        <v>0.6922413719033762</v>
      </c>
      <c r="H36" s="382">
        <f t="shared" si="0"/>
        <v>25</v>
      </c>
      <c r="I36" s="414">
        <f>'table 1 &amp; 2'!E37/'table 1 &amp; 2'!$E$42*100</f>
        <v>0.49154178808158561</v>
      </c>
      <c r="J36" s="566">
        <f t="shared" si="3"/>
        <v>25</v>
      </c>
      <c r="K36" s="414">
        <f>'table 1 &amp; 2'!F37/'table 1 &amp; 2'!$F$42*100</f>
        <v>0</v>
      </c>
      <c r="L36" s="414">
        <f>'table 1 &amp; 2'!G37/'table 1 &amp; 2'!$G$42*100</f>
        <v>0</v>
      </c>
      <c r="M36" s="414">
        <f>'table 1 &amp; 2'!H37/'table 1 &amp; 2'!$H$42*100</f>
        <v>0</v>
      </c>
      <c r="N36" s="382" t="str">
        <f t="shared" si="4"/>
        <v>N/A</v>
      </c>
      <c r="P36" s="52"/>
      <c r="Q36" s="248"/>
      <c r="R36" s="99"/>
      <c r="S36" s="46"/>
    </row>
    <row r="37" spans="2:19" x14ac:dyDescent="0.2">
      <c r="B37" t="s">
        <v>59</v>
      </c>
      <c r="C37" s="415">
        <f>'table 1 &amp; 2'!B38/'table 1 &amp; 2'!$B$42*100</f>
        <v>1.8815390162028705</v>
      </c>
      <c r="D37" s="570">
        <f t="shared" si="1"/>
        <v>9</v>
      </c>
      <c r="E37" s="415">
        <f>'table 1 &amp; 2'!C38/'table 1 &amp; 2'!$C$42*100</f>
        <v>2.4937806542987957</v>
      </c>
      <c r="F37" s="568">
        <f t="shared" si="2"/>
        <v>7</v>
      </c>
      <c r="G37" s="415">
        <f>'table 1 &amp; 2'!D38/'table 1 &amp; 2'!$D$42*100</f>
        <v>2.6550560343646943</v>
      </c>
      <c r="H37" s="177">
        <f t="shared" si="0"/>
        <v>9</v>
      </c>
      <c r="I37" s="415">
        <f>'table 1 &amp; 2'!E38/'table 1 &amp; 2'!$E$42*100</f>
        <v>2.5484136850181356</v>
      </c>
      <c r="J37" s="565">
        <f t="shared" si="3"/>
        <v>9</v>
      </c>
      <c r="K37" s="415">
        <f>'table 1 &amp; 2'!F38/'table 1 &amp; 2'!$F$42*100</f>
        <v>0</v>
      </c>
      <c r="L37" s="415">
        <f>'table 1 &amp; 2'!G38/'table 1 &amp; 2'!$G$42*100</f>
        <v>0</v>
      </c>
      <c r="M37" s="415">
        <f>'table 1 &amp; 2'!H38/'table 1 &amp; 2'!$H$42*100</f>
        <v>0</v>
      </c>
      <c r="N37" s="177" t="str">
        <f t="shared" si="4"/>
        <v>N/A</v>
      </c>
      <c r="Q37" s="248"/>
      <c r="R37" s="99"/>
      <c r="S37" s="46"/>
    </row>
    <row r="38" spans="2:19" x14ac:dyDescent="0.2">
      <c r="B38" s="52" t="s">
        <v>60</v>
      </c>
      <c r="C38" s="414">
        <f>'table 1 &amp; 2'!B39/'table 1 &amp; 2'!$B$42*100</f>
        <v>0.56091292989823316</v>
      </c>
      <c r="D38" s="571">
        <f t="shared" si="1"/>
        <v>22</v>
      </c>
      <c r="E38" s="414">
        <f>'table 1 &amp; 2'!C39/'table 1 &amp; 2'!$C$42*100</f>
        <v>0.44501678869743816</v>
      </c>
      <c r="F38" s="567">
        <f t="shared" si="2"/>
        <v>23</v>
      </c>
      <c r="G38" s="414">
        <f>'table 1 &amp; 2'!D39/'table 1 &amp; 2'!$D$42*100</f>
        <v>1.3740057552285689</v>
      </c>
      <c r="H38" s="382">
        <f t="shared" si="0"/>
        <v>18</v>
      </c>
      <c r="I38" s="414">
        <f>'table 1 &amp; 2'!E39/'table 1 &amp; 2'!$E$42*100</f>
        <v>0.75971753673278686</v>
      </c>
      <c r="J38" s="566">
        <f t="shared" si="3"/>
        <v>22</v>
      </c>
      <c r="K38" s="414">
        <f>'table 1 &amp; 2'!F39/'table 1 &amp; 2'!$F$42*100</f>
        <v>0</v>
      </c>
      <c r="L38" s="414">
        <f>'table 1 &amp; 2'!G39/'table 1 &amp; 2'!$G$42*100</f>
        <v>0</v>
      </c>
      <c r="M38" s="414">
        <f>'table 1 &amp; 2'!H39/'table 1 &amp; 2'!$H$42*100</f>
        <v>0</v>
      </c>
      <c r="N38" s="382" t="str">
        <f t="shared" si="4"/>
        <v>N/A</v>
      </c>
      <c r="P38" s="52"/>
      <c r="Q38" s="248"/>
      <c r="R38" s="99"/>
      <c r="S38" s="46"/>
    </row>
    <row r="39" spans="2:19" x14ac:dyDescent="0.2">
      <c r="B39" t="s">
        <v>61</v>
      </c>
      <c r="C39" s="415">
        <f>'table 1 &amp; 2'!B40/'table 1 &amp; 2'!$B$42*100</f>
        <v>0.19894586766250844</v>
      </c>
      <c r="D39" s="570">
        <f t="shared" si="1"/>
        <v>29</v>
      </c>
      <c r="E39" s="415">
        <f>'table 1 &amp; 2'!C40/'table 1 &amp; 2'!$C$42*100</f>
        <v>0.10106619260466744</v>
      </c>
      <c r="F39" s="568">
        <f t="shared" si="2"/>
        <v>29</v>
      </c>
      <c r="G39" s="415">
        <f>'table 1 &amp; 2'!D40/'table 1 &amp; 2'!$D$42*100</f>
        <v>0.56190369453527633</v>
      </c>
      <c r="H39" s="177">
        <f t="shared" si="0"/>
        <v>28</v>
      </c>
      <c r="I39" s="415">
        <f>'table 1 &amp; 2'!E40/'table 1 &amp; 2'!$E$42*100</f>
        <v>0.25717774161674517</v>
      </c>
      <c r="J39" s="565">
        <f t="shared" si="3"/>
        <v>29</v>
      </c>
      <c r="K39" s="415">
        <f>'table 1 &amp; 2'!F40/'table 1 &amp; 2'!$F$42*100</f>
        <v>3.5035781988826946E-2</v>
      </c>
      <c r="L39" s="415">
        <f>'table 1 &amp; 2'!G40/'table 1 &amp; 2'!$G$42*100</f>
        <v>3.3063152867384621E-2</v>
      </c>
      <c r="M39" s="415">
        <f>'table 1 &amp; 2'!H40/'table 1 &amp; 2'!$H$42*100</f>
        <v>3.4648814625312663E-2</v>
      </c>
      <c r="N39" s="177">
        <f>IF(M39=0,"N/A",RANK(M39,$M$8:$M$40))</f>
        <v>11</v>
      </c>
      <c r="Q39" s="248"/>
      <c r="R39" s="99"/>
      <c r="S39" s="46"/>
    </row>
    <row r="40" spans="2:19" x14ac:dyDescent="0.2">
      <c r="B40" s="52" t="s">
        <v>62</v>
      </c>
      <c r="C40" s="414">
        <f>'table 1 &amp; 2'!B41/'table 1 &amp; 2'!$B$42*100</f>
        <v>1.9689729521405359</v>
      </c>
      <c r="D40" s="571">
        <f t="shared" si="1"/>
        <v>8</v>
      </c>
      <c r="E40" s="414">
        <f>'table 1 &amp; 2'!C41/'table 1 &amp; 2'!$C$42*100</f>
        <v>2.8150436739184492</v>
      </c>
      <c r="F40" s="567">
        <f t="shared" si="2"/>
        <v>6</v>
      </c>
      <c r="G40" s="414">
        <f>'table 1 &amp; 2'!D41/'table 1 &amp; 2'!$D$42*100</f>
        <v>2.3775407811450808</v>
      </c>
      <c r="H40" s="382">
        <f t="shared" si="0"/>
        <v>10</v>
      </c>
      <c r="I40" s="414">
        <f>'table 1 &amp; 2'!E41/'table 1 &amp; 2'!$E$42*100</f>
        <v>2.6668368678273953</v>
      </c>
      <c r="J40" s="566">
        <f t="shared" si="3"/>
        <v>8</v>
      </c>
      <c r="K40" s="414">
        <f>'table 1 &amp; 2'!F41/'table 1 &amp; 2'!$F$42*100</f>
        <v>0</v>
      </c>
      <c r="L40" s="414">
        <f>'table 1 &amp; 2'!G41/'table 1 &amp; 2'!$G$42*100</f>
        <v>0</v>
      </c>
      <c r="M40" s="414">
        <f>'table 1 &amp; 2'!H41/'table 1 &amp; 2'!$H$42*100</f>
        <v>0</v>
      </c>
      <c r="N40" s="382" t="str">
        <f t="shared" si="4"/>
        <v>N/A</v>
      </c>
      <c r="P40" s="52"/>
      <c r="Q40" s="248"/>
      <c r="R40" s="99"/>
      <c r="S40" s="46"/>
    </row>
    <row r="41" spans="2:19" ht="13.5" thickBot="1" x14ac:dyDescent="0.25">
      <c r="B41" s="47" t="s">
        <v>63</v>
      </c>
      <c r="C41" s="416">
        <f>SUM(C8:C40)</f>
        <v>99.999999999999972</v>
      </c>
      <c r="D41" s="421"/>
      <c r="E41" s="416">
        <f>SUM(E8:E40)</f>
        <v>100.00000000000001</v>
      </c>
      <c r="F41" s="420"/>
      <c r="G41" s="416">
        <f>SUM(G8:G40)</f>
        <v>100.00000000000001</v>
      </c>
      <c r="H41" s="420"/>
      <c r="I41" s="416">
        <f>SUM(I8:I40)</f>
        <v>100.00000000000003</v>
      </c>
      <c r="J41" s="421"/>
      <c r="K41" s="416">
        <f t="shared" ref="K41:L41" si="5">SUM(K8:K40)</f>
        <v>100.00000000000001</v>
      </c>
      <c r="L41" s="416">
        <f t="shared" si="5"/>
        <v>100</v>
      </c>
      <c r="M41" s="416">
        <f>SUM(M8:M40)</f>
        <v>99.999999999999986</v>
      </c>
      <c r="N41" s="419"/>
      <c r="Q41" s="248"/>
    </row>
    <row r="42" spans="2:19" x14ac:dyDescent="0.2">
      <c r="B42" t="s">
        <v>407</v>
      </c>
    </row>
    <row r="44" spans="2:19" x14ac:dyDescent="0.2">
      <c r="B44" s="7" t="s">
        <v>504</v>
      </c>
      <c r="C44" s="7"/>
      <c r="J44" s="7" t="str">
        <f>E2</f>
        <v>2022 Tax Year</v>
      </c>
    </row>
    <row r="45" spans="2:19" x14ac:dyDescent="0.2">
      <c r="B45" s="7" t="s">
        <v>415</v>
      </c>
      <c r="C45" s="7"/>
    </row>
    <row r="46" spans="2:19" x14ac:dyDescent="0.2">
      <c r="E46" s="122"/>
      <c r="G46" s="46" t="s">
        <v>5</v>
      </c>
      <c r="H46" s="46"/>
      <c r="K46" s="208" t="s">
        <v>321</v>
      </c>
    </row>
    <row r="47" spans="2:19" ht="13.5" thickBot="1" x14ac:dyDescent="0.25">
      <c r="B47" s="47" t="s">
        <v>27</v>
      </c>
      <c r="C47" s="254" t="s">
        <v>8</v>
      </c>
      <c r="D47" s="68" t="s">
        <v>335</v>
      </c>
      <c r="E47" s="231" t="s">
        <v>9</v>
      </c>
      <c r="F47" s="68" t="s">
        <v>335</v>
      </c>
      <c r="G47" s="68" t="s">
        <v>66</v>
      </c>
      <c r="H47" s="68" t="s">
        <v>335</v>
      </c>
      <c r="I47" s="178" t="s">
        <v>29</v>
      </c>
      <c r="J47" s="68" t="s">
        <v>335</v>
      </c>
      <c r="K47" s="231" t="s">
        <v>30</v>
      </c>
      <c r="L47" s="178" t="s">
        <v>10</v>
      </c>
      <c r="M47" s="178" t="s">
        <v>29</v>
      </c>
      <c r="N47" s="68" t="s">
        <v>335</v>
      </c>
      <c r="Q47" s="221">
        <f>+Q48+Q49+Q50+Q51</f>
        <v>69.291773784893763</v>
      </c>
    </row>
    <row r="48" spans="2:19" ht="13.5" thickBot="1" x14ac:dyDescent="0.25">
      <c r="B48" s="52" t="s">
        <v>31</v>
      </c>
      <c r="C48" s="414">
        <f>'table 1 &amp; 2'!B51/'table 1 &amp; 2'!$B$84*100</f>
        <v>31.448749847701972</v>
      </c>
      <c r="D48" s="382">
        <f>RANK(C48,$C$48:$C$80)</f>
        <v>1</v>
      </c>
      <c r="E48" s="417">
        <f>'table 1 &amp; 2'!C51/'table 1 &amp; 2'!$C$84*100</f>
        <v>46.050818633349806</v>
      </c>
      <c r="F48" s="382">
        <f>RANK(E48,$E$48:$E$80)</f>
        <v>1</v>
      </c>
      <c r="G48" s="414">
        <f>'table 1 &amp; 2'!D51/'table 1 &amp; 2'!$D$84*100</f>
        <v>27.056889351125506</v>
      </c>
      <c r="H48" s="382"/>
      <c r="I48" s="414">
        <f>'table 1 &amp; 2'!E51/'table 1 &amp; 2'!$E$84*100</f>
        <v>39.641916470729342</v>
      </c>
      <c r="J48" s="382">
        <f>RANK(I48,$I$48:$I$80)</f>
        <v>1</v>
      </c>
      <c r="K48" s="417">
        <f>'table 1 &amp; 2'!F51/'table 1 &amp; 2'!$F$84*100</f>
        <v>0</v>
      </c>
      <c r="L48" s="414">
        <f>'table 1 &amp; 2'!G51/'table 1 &amp; 2'!$G$84*100</f>
        <v>0</v>
      </c>
      <c r="M48" s="414">
        <f>'table 1 &amp; 2'!H51/'table 1 &amp; 2'!$H$84*100</f>
        <v>0</v>
      </c>
      <c r="N48" s="382" t="str">
        <f>IF(M48=0,"N/A",RANK(M48,$M$48:$M$80))</f>
        <v>N/A</v>
      </c>
      <c r="P48" t="str">
        <f>+B48</f>
        <v>Bernalillo</v>
      </c>
      <c r="Q48" s="221">
        <f>+E48</f>
        <v>46.050818633349806</v>
      </c>
    </row>
    <row r="49" spans="2:35" ht="13.5" thickBot="1" x14ac:dyDescent="0.25">
      <c r="B49" t="s">
        <v>32</v>
      </c>
      <c r="C49" s="415">
        <f>'table 1 &amp; 2'!B52/'table 1 &amp; 2'!$B$84*100</f>
        <v>0.10090065743828863</v>
      </c>
      <c r="D49" s="177">
        <f t="shared" ref="D49:D80" si="6">RANK(C49,$C$48:$C$80)</f>
        <v>31</v>
      </c>
      <c r="E49" s="418">
        <f>'table 1 &amp; 2'!C52/'table 1 &amp; 2'!$C$84*100</f>
        <v>0.11196742463939625</v>
      </c>
      <c r="F49" s="177">
        <f t="shared" ref="F49:F80" si="7">RANK(E49,$E$48:$E$80)</f>
        <v>28</v>
      </c>
      <c r="G49" s="415">
        <f>'table 1 &amp; 2'!D52/'table 1 &amp; 2'!$D$84*100</f>
        <v>0.15707555632405865</v>
      </c>
      <c r="H49" s="177"/>
      <c r="I49" s="415">
        <f>'table 1 &amp; 2'!E52/'table 1 &amp; 2'!$E$84*100</f>
        <v>0.1271877404787394</v>
      </c>
      <c r="J49" s="177">
        <f t="shared" ref="J49:J80" si="8">RANK(I49,$I$48:$I$80)</f>
        <v>31</v>
      </c>
      <c r="K49" s="418">
        <f>'table 1 &amp; 2'!F52/'table 1 &amp; 2'!$F$84*100</f>
        <v>0</v>
      </c>
      <c r="L49" s="415">
        <f>'table 1 &amp; 2'!G52/'table 1 &amp; 2'!$G$84*100</f>
        <v>0</v>
      </c>
      <c r="M49" s="415">
        <f>'table 1 &amp; 2'!H52/'table 1 &amp; 2'!$H$84*100</f>
        <v>0</v>
      </c>
      <c r="N49" s="177" t="str">
        <f t="shared" ref="N49:N80" si="9">IF(M49=0,"N/A",RANK(M49,$M$48:$M$80))</f>
        <v>N/A</v>
      </c>
      <c r="P49" t="str">
        <f>+B74</f>
        <v>Santa Fe</v>
      </c>
      <c r="Q49" s="221">
        <f>+E74</f>
        <v>11.952119129534474</v>
      </c>
      <c r="AE49" s="447">
        <f>E48+E74+E55+E73</f>
        <v>75.240449821059826</v>
      </c>
      <c r="AF49" s="445" t="s">
        <v>503</v>
      </c>
      <c r="AG49" s="445"/>
      <c r="AH49" s="445"/>
      <c r="AI49" s="446"/>
    </row>
    <row r="50" spans="2:35" x14ac:dyDescent="0.2">
      <c r="B50" s="52" t="s">
        <v>33</v>
      </c>
      <c r="C50" s="414">
        <f>'table 1 &amp; 2'!B53/'table 1 &amp; 2'!$B$84*100</f>
        <v>1.4897475650242364</v>
      </c>
      <c r="D50" s="382">
        <f t="shared" si="6"/>
        <v>9</v>
      </c>
      <c r="E50" s="417">
        <f>'table 1 &amp; 2'!C53/'table 1 &amp; 2'!$C$84*100</f>
        <v>1.5051284327627217</v>
      </c>
      <c r="F50" s="382">
        <f t="shared" si="7"/>
        <v>11</v>
      </c>
      <c r="G50" s="414">
        <f>'table 1 &amp; 2'!D53/'table 1 &amp; 2'!$D$84*100</f>
        <v>2.4329613710208768</v>
      </c>
      <c r="H50" s="382"/>
      <c r="I50" s="414">
        <f>'table 1 &amp; 2'!E53/'table 1 &amp; 2'!$E$84*100</f>
        <v>1.818196383906364</v>
      </c>
      <c r="J50" s="382">
        <f t="shared" si="8"/>
        <v>9</v>
      </c>
      <c r="K50" s="417">
        <f>'table 1 &amp; 2'!F53/'table 1 &amp; 2'!$F$84*100</f>
        <v>0.22699705810529683</v>
      </c>
      <c r="L50" s="414">
        <f>'table 1 &amp; 2'!G53/'table 1 &amp; 2'!$G$84*100</f>
        <v>0.23732529995549481</v>
      </c>
      <c r="M50" s="414">
        <f>'table 1 &amp; 2'!H53/'table 1 &amp; 2'!$H$84*100</f>
        <v>0.22902564661895414</v>
      </c>
      <c r="N50" s="382">
        <f t="shared" si="9"/>
        <v>7</v>
      </c>
      <c r="P50" t="str">
        <f>+B73</f>
        <v>Sandoval</v>
      </c>
      <c r="Q50">
        <f>+F73</f>
        <v>3</v>
      </c>
      <c r="AE50" s="221"/>
    </row>
    <row r="51" spans="2:35" x14ac:dyDescent="0.2">
      <c r="B51" t="s">
        <v>34</v>
      </c>
      <c r="C51" s="415">
        <f>'table 1 &amp; 2'!B54/'table 1 &amp; 2'!$B$84*100</f>
        <v>0.49601039411302567</v>
      </c>
      <c r="D51" s="177">
        <f t="shared" si="6"/>
        <v>22</v>
      </c>
      <c r="E51" s="418">
        <f>'table 1 &amp; 2'!C54/'table 1 &amp; 2'!$C$84*100</f>
        <v>0.37890762579166376</v>
      </c>
      <c r="F51" s="177">
        <f t="shared" si="7"/>
        <v>22</v>
      </c>
      <c r="G51" s="415">
        <f>'table 1 &amp; 2'!D54/'table 1 &amp; 2'!$D$84*100</f>
        <v>1.1089375878488379</v>
      </c>
      <c r="H51" s="177"/>
      <c r="I51" s="415">
        <f>'table 1 &amp; 2'!E54/'table 1 &amp; 2'!$E$84*100</f>
        <v>0.62523320345844868</v>
      </c>
      <c r="J51" s="177">
        <f t="shared" si="8"/>
        <v>22</v>
      </c>
      <c r="K51" s="418">
        <f>'table 1 &amp; 2'!F54/'table 1 &amp; 2'!$F$84*100</f>
        <v>0</v>
      </c>
      <c r="L51" s="415">
        <f>'table 1 &amp; 2'!G54/'table 1 &amp; 2'!$G$84*100</f>
        <v>0</v>
      </c>
      <c r="M51" s="415">
        <f>'table 1 &amp; 2'!H54/'table 1 &amp; 2'!$H$84*100</f>
        <v>0</v>
      </c>
      <c r="N51" s="177" t="str">
        <f t="shared" si="9"/>
        <v>N/A</v>
      </c>
      <c r="P51" t="str">
        <f>+B55</f>
        <v>Dona Ana</v>
      </c>
      <c r="Q51" s="221">
        <f>+E55</f>
        <v>8.2888360220094786</v>
      </c>
    </row>
    <row r="52" spans="2:35" x14ac:dyDescent="0.2">
      <c r="B52" s="52" t="s">
        <v>35</v>
      </c>
      <c r="C52" s="414">
        <f>'table 1 &amp; 2'!B55/'table 1 &amp; 2'!$B$84*100</f>
        <v>0.70157440036657659</v>
      </c>
      <c r="D52" s="382">
        <f t="shared" si="6"/>
        <v>17</v>
      </c>
      <c r="E52" s="417">
        <f>'table 1 &amp; 2'!C55/'table 1 &amp; 2'!$C$84*100</f>
        <v>0.8486827356533243</v>
      </c>
      <c r="F52" s="382">
        <f t="shared" si="7"/>
        <v>16</v>
      </c>
      <c r="G52" s="414">
        <f>'table 1 &amp; 2'!D55/'table 1 &amp; 2'!$D$84*100</f>
        <v>0.83757163039822524</v>
      </c>
      <c r="H52" s="382"/>
      <c r="I52" s="414">
        <f>'table 1 &amp; 2'!E55/'table 1 &amp; 2'!$E$84*100</f>
        <v>0.84493364374925217</v>
      </c>
      <c r="J52" s="382">
        <f t="shared" si="8"/>
        <v>18</v>
      </c>
      <c r="K52" s="417">
        <f>'table 1 &amp; 2'!F55/'table 1 &amp; 2'!$F$84*100</f>
        <v>0.15447885309270221</v>
      </c>
      <c r="L52" s="414">
        <f>'table 1 &amp; 2'!G55/'table 1 &amp; 2'!$G$84*100</f>
        <v>0.13830718573220821</v>
      </c>
      <c r="M52" s="414">
        <f>'table 1 &amp; 2'!H55/'table 1 &amp; 2'!$H$84*100</f>
        <v>0.15130254688976849</v>
      </c>
      <c r="N52" s="382">
        <f t="shared" si="9"/>
        <v>8</v>
      </c>
    </row>
    <row r="53" spans="2:35" x14ac:dyDescent="0.2">
      <c r="B53" t="s">
        <v>36</v>
      </c>
      <c r="C53" s="415">
        <f>'table 1 &amp; 2'!B56/'table 1 &amp; 2'!$B$84*100</f>
        <v>0.9275037143921423</v>
      </c>
      <c r="D53" s="177">
        <f t="shared" si="6"/>
        <v>15</v>
      </c>
      <c r="E53" s="418">
        <f>'table 1 &amp; 2'!C56/'table 1 &amp; 2'!$C$84*100</f>
        <v>1.1224451144019962</v>
      </c>
      <c r="F53" s="177">
        <f t="shared" si="7"/>
        <v>14</v>
      </c>
      <c r="G53" s="415">
        <f>'table 1 &amp; 2'!D56/'table 1 &amp; 2'!$D$84*100</f>
        <v>1.2608369153487406</v>
      </c>
      <c r="H53" s="177"/>
      <c r="I53" s="415">
        <f>'table 1 &amp; 2'!E56/'table 1 &amp; 2'!$E$84*100</f>
        <v>1.1691410612594266</v>
      </c>
      <c r="J53" s="177">
        <f t="shared" si="8"/>
        <v>15</v>
      </c>
      <c r="K53" s="418">
        <f>'table 1 &amp; 2'!F56/'table 1 &amp; 2'!$F$84*100</f>
        <v>0</v>
      </c>
      <c r="L53" s="415">
        <f>'table 1 &amp; 2'!G56/'table 1 &amp; 2'!$G$84*100</f>
        <v>0</v>
      </c>
      <c r="M53" s="415">
        <f>'table 1 &amp; 2'!H56/'table 1 &amp; 2'!$H$84*100</f>
        <v>0</v>
      </c>
      <c r="N53" s="177" t="str">
        <f t="shared" si="9"/>
        <v>N/A</v>
      </c>
    </row>
    <row r="54" spans="2:35" x14ac:dyDescent="0.2">
      <c r="B54" s="52" t="s">
        <v>67</v>
      </c>
      <c r="C54" s="414">
        <f>'table 1 &amp; 2'!B57/'table 1 &amp; 2'!$B$84*100</f>
        <v>8.6853084692356836E-2</v>
      </c>
      <c r="D54" s="382">
        <f t="shared" si="6"/>
        <v>32</v>
      </c>
      <c r="E54" s="417">
        <f>'table 1 &amp; 2'!C57/'table 1 &amp; 2'!$C$84*100</f>
        <v>3.3486785269932234E-2</v>
      </c>
      <c r="F54" s="382">
        <f t="shared" si="7"/>
        <v>32</v>
      </c>
      <c r="G54" s="414">
        <f>'table 1 &amp; 2'!D57/'table 1 &amp; 2'!$D$84*100</f>
        <v>0.25870756738658807</v>
      </c>
      <c r="H54" s="382"/>
      <c r="I54" s="414">
        <f>'table 1 &amp; 2'!E57/'table 1 &amp; 2'!$E$84*100</f>
        <v>0.10948043229932017</v>
      </c>
      <c r="J54" s="382">
        <f t="shared" si="8"/>
        <v>32</v>
      </c>
      <c r="K54" s="417">
        <f>'table 1 &amp; 2'!F57/'table 1 &amp; 2'!$F$84*100</f>
        <v>0</v>
      </c>
      <c r="L54" s="414">
        <f>'table 1 &amp; 2'!G57/'table 1 &amp; 2'!$G$84*100</f>
        <v>0</v>
      </c>
      <c r="M54" s="414">
        <f>'table 1 &amp; 2'!H57/'table 1 &amp; 2'!$H$84*100</f>
        <v>0</v>
      </c>
      <c r="N54" s="382" t="str">
        <f t="shared" si="9"/>
        <v>N/A</v>
      </c>
    </row>
    <row r="55" spans="2:35" x14ac:dyDescent="0.2">
      <c r="B55" t="s">
        <v>37</v>
      </c>
      <c r="C55" s="415">
        <f>'table 1 &amp; 2'!B58/'table 1 &amp; 2'!$B$84*100</f>
        <v>6.2036998058162354</v>
      </c>
      <c r="D55" s="177">
        <f t="shared" si="6"/>
        <v>5</v>
      </c>
      <c r="E55" s="418">
        <f>'table 1 &amp; 2'!C58/'table 1 &amp; 2'!$C$84*100</f>
        <v>8.2888360220094786</v>
      </c>
      <c r="F55" s="177">
        <f t="shared" si="7"/>
        <v>4</v>
      </c>
      <c r="G55" s="415">
        <f>'table 1 &amp; 2'!D58/'table 1 &amp; 2'!$D$84*100</f>
        <v>6.8991044889390034</v>
      </c>
      <c r="H55" s="177"/>
      <c r="I55" s="415">
        <f>'table 1 &amp; 2'!E58/'table 1 &amp; 2'!$E$84*100</f>
        <v>7.8199149633166574</v>
      </c>
      <c r="J55" s="177">
        <f t="shared" si="8"/>
        <v>3</v>
      </c>
      <c r="K55" s="418">
        <f>'table 1 &amp; 2'!F58/'table 1 &amp; 2'!$F$84*100</f>
        <v>0</v>
      </c>
      <c r="L55" s="415">
        <f>'table 1 &amp; 2'!G58/'table 1 &amp; 2'!$G$84*100</f>
        <v>0</v>
      </c>
      <c r="M55" s="415">
        <f>'table 1 &amp; 2'!H58/'table 1 &amp; 2'!$H$84*100</f>
        <v>0</v>
      </c>
      <c r="N55" s="177" t="str">
        <f t="shared" si="9"/>
        <v>N/A</v>
      </c>
      <c r="Z55">
        <v>3</v>
      </c>
    </row>
    <row r="56" spans="2:35" x14ac:dyDescent="0.2">
      <c r="B56" s="52" t="s">
        <v>38</v>
      </c>
      <c r="C56" s="414">
        <f>'table 1 &amp; 2'!B59/'table 1 &amp; 2'!$B$84*100</f>
        <v>11.500961147932005</v>
      </c>
      <c r="D56" s="382">
        <f t="shared" si="6"/>
        <v>3</v>
      </c>
      <c r="E56" s="417">
        <f>'table 1 &amp; 2'!C59/'table 1 &amp; 2'!$C$84*100</f>
        <v>1.6589947011695663</v>
      </c>
      <c r="F56" s="382">
        <f t="shared" si="7"/>
        <v>8</v>
      </c>
      <c r="G56" s="414">
        <f>'table 1 &amp; 2'!D59/'table 1 &amp; 2'!$D$84*100</f>
        <v>10.866782126260341</v>
      </c>
      <c r="H56" s="382"/>
      <c r="I56" s="414">
        <f>'table 1 &amp; 2'!E59/'table 1 &amp; 2'!$E$84*100</f>
        <v>4.7658720547059268</v>
      </c>
      <c r="J56" s="382">
        <f t="shared" si="8"/>
        <v>5</v>
      </c>
      <c r="K56" s="417">
        <f>'table 1 &amp; 2'!F59/'table 1 &amp; 2'!$F$84*100</f>
        <v>37.413251852207694</v>
      </c>
      <c r="L56" s="414">
        <f>'table 1 &amp; 2'!G59/'table 1 &amp; 2'!$G$84*100</f>
        <v>37.106532594068263</v>
      </c>
      <c r="M56" s="414">
        <f>'table 1 &amp; 2'!H59/'table 1 &amp; 2'!$H$84*100</f>
        <v>37.35300857237327</v>
      </c>
      <c r="N56" s="382">
        <f t="shared" si="9"/>
        <v>2</v>
      </c>
    </row>
    <row r="57" spans="2:35" x14ac:dyDescent="0.2">
      <c r="B57" t="s">
        <v>39</v>
      </c>
      <c r="C57" s="415">
        <f>'table 1 &amp; 2'!B60/'table 1 &amp; 2'!$B$84*100</f>
        <v>0.61313794104727426</v>
      </c>
      <c r="D57" s="177">
        <f t="shared" si="6"/>
        <v>19</v>
      </c>
      <c r="E57" s="418">
        <f>'table 1 &amp; 2'!C60/'table 1 &amp; 2'!$C$84*100</f>
        <v>0.59083077778755888</v>
      </c>
      <c r="F57" s="177">
        <f t="shared" si="7"/>
        <v>19</v>
      </c>
      <c r="G57" s="415">
        <f>'table 1 &amp; 2'!D60/'table 1 &amp; 2'!$D$84*100</f>
        <v>0.69747441636182261</v>
      </c>
      <c r="H57" s="177"/>
      <c r="I57" s="415">
        <f>'table 1 &amp; 2'!E60/'table 1 &amp; 2'!$E$84*100</f>
        <v>0.62681430893232037</v>
      </c>
      <c r="J57" s="177">
        <f t="shared" si="8"/>
        <v>21</v>
      </c>
      <c r="K57" s="418">
        <f>'table 1 &amp; 2'!F60/'table 1 &amp; 2'!$F$84*100</f>
        <v>0.69767376024437533</v>
      </c>
      <c r="L57" s="415">
        <f>'table 1 &amp; 2'!G60/'table 1 &amp; 2'!$G$84*100</f>
        <v>0</v>
      </c>
      <c r="M57" s="415">
        <f>'table 1 &amp; 2'!H60/'table 1 &amp; 2'!$H$84*100</f>
        <v>0.56064240516580865</v>
      </c>
      <c r="N57" s="177">
        <f t="shared" si="9"/>
        <v>6</v>
      </c>
    </row>
    <row r="58" spans="2:35" x14ac:dyDescent="0.2">
      <c r="B58" s="52" t="s">
        <v>40</v>
      </c>
      <c r="C58" s="414">
        <f>'table 1 &amp; 2'!B61/'table 1 &amp; 2'!$B$84*100</f>
        <v>0.20060165170209401</v>
      </c>
      <c r="D58" s="382">
        <f t="shared" si="6"/>
        <v>27</v>
      </c>
      <c r="E58" s="417">
        <f>'table 1 &amp; 2'!C61/'table 1 &amp; 2'!$C$84*100</f>
        <v>7.7957598163228919E-2</v>
      </c>
      <c r="F58" s="382">
        <f t="shared" si="7"/>
        <v>29</v>
      </c>
      <c r="G58" s="414">
        <f>'table 1 &amp; 2'!D61/'table 1 &amp; 2'!$D$84*100</f>
        <v>0.59632189776847844</v>
      </c>
      <c r="H58" s="382"/>
      <c r="I58" s="414">
        <f>'table 1 &amp; 2'!E61/'table 1 &amp; 2'!$E$84*100</f>
        <v>0.25286327625661847</v>
      </c>
      <c r="J58" s="382">
        <f t="shared" si="8"/>
        <v>27</v>
      </c>
      <c r="K58" s="417">
        <f>'table 1 &amp; 2'!F61/'table 1 &amp; 2'!$F$84*100</f>
        <v>0</v>
      </c>
      <c r="L58" s="414">
        <f>'table 1 &amp; 2'!G61/'table 1 &amp; 2'!$G$84*100</f>
        <v>0</v>
      </c>
      <c r="M58" s="414">
        <f>'table 1 &amp; 2'!H61/'table 1 &amp; 2'!$H$84*100</f>
        <v>0</v>
      </c>
      <c r="N58" s="382" t="str">
        <f t="shared" si="9"/>
        <v>N/A</v>
      </c>
    </row>
    <row r="59" spans="2:35" x14ac:dyDescent="0.2">
      <c r="B59" t="s">
        <v>41</v>
      </c>
      <c r="C59" s="415">
        <f>'table 1 &amp; 2'!B62/'table 1 &amp; 2'!$B$84*100</f>
        <v>7.4150518969520351E-2</v>
      </c>
      <c r="D59" s="177">
        <f t="shared" si="6"/>
        <v>33</v>
      </c>
      <c r="E59" s="418">
        <f>'table 1 &amp; 2'!C62/'table 1 &amp; 2'!$C$84*100</f>
        <v>8.9569687707806104E-3</v>
      </c>
      <c r="F59" s="177">
        <f t="shared" si="7"/>
        <v>33</v>
      </c>
      <c r="G59" s="415">
        <f>'table 1 &amp; 2'!D62/'table 1 &amp; 2'!$D$84*100</f>
        <v>0.19520708741757176</v>
      </c>
      <c r="H59" s="177"/>
      <c r="I59" s="415">
        <f>'table 1 &amp; 2'!E62/'table 1 &amp; 2'!$E$84*100</f>
        <v>7.1801194967876056E-2</v>
      </c>
      <c r="J59" s="177">
        <f t="shared" si="8"/>
        <v>33</v>
      </c>
      <c r="K59" s="418">
        <f>'table 1 &amp; 2'!F62/'table 1 &amp; 2'!$F$84*100</f>
        <v>8.4382104758342527E-2</v>
      </c>
      <c r="L59" s="415">
        <f>'table 1 &amp; 2'!G62/'table 1 &amp; 2'!$G$84*100</f>
        <v>7.8201660582997642E-2</v>
      </c>
      <c r="M59" s="415">
        <f>'table 1 &amp; 2'!H62/'table 1 &amp; 2'!$H$84*100</f>
        <v>8.3168192628354606E-2</v>
      </c>
      <c r="N59" s="177">
        <f t="shared" si="9"/>
        <v>9</v>
      </c>
    </row>
    <row r="60" spans="2:35" x14ac:dyDescent="0.2">
      <c r="B60" s="52" t="s">
        <v>42</v>
      </c>
      <c r="C60" s="414">
        <f>'table 1 &amp; 2'!B63/'table 1 &amp; 2'!$B$84*100</f>
        <v>0.15480572652848268</v>
      </c>
      <c r="D60" s="382">
        <f t="shared" si="6"/>
        <v>29</v>
      </c>
      <c r="E60" s="417">
        <f>'table 1 &amp; 2'!C63/'table 1 &amp; 2'!$C$84*100</f>
        <v>4.0293914016436082E-2</v>
      </c>
      <c r="F60" s="382">
        <f t="shared" si="7"/>
        <v>31</v>
      </c>
      <c r="G60" s="414">
        <f>'table 1 &amp; 2'!D63/'table 1 &amp; 2'!$D$84*100</f>
        <v>0.49919733674104383</v>
      </c>
      <c r="H60" s="382"/>
      <c r="I60" s="414">
        <f>'table 1 &amp; 2'!E63/'table 1 &amp; 2'!$E$84*100</f>
        <v>0.19513639524469395</v>
      </c>
      <c r="J60" s="382">
        <f t="shared" si="8"/>
        <v>28</v>
      </c>
      <c r="K60" s="417">
        <f>'table 1 &amp; 2'!F63/'table 1 &amp; 2'!$F$84*100</f>
        <v>0</v>
      </c>
      <c r="L60" s="414">
        <f>'table 1 &amp; 2'!G63/'table 1 &amp; 2'!$G$84*100</f>
        <v>0</v>
      </c>
      <c r="M60" s="414">
        <f>'table 1 &amp; 2'!H63/'table 1 &amp; 2'!$H$84*100</f>
        <v>0</v>
      </c>
      <c r="N60" s="382" t="str">
        <f t="shared" si="9"/>
        <v>N/A</v>
      </c>
    </row>
    <row r="61" spans="2:35" x14ac:dyDescent="0.2">
      <c r="B61" t="s">
        <v>43</v>
      </c>
      <c r="C61" s="415">
        <f>'table 1 &amp; 2'!B64/'table 1 &amp; 2'!$B$84*100</f>
        <v>14.565506865015479</v>
      </c>
      <c r="D61" s="177">
        <f t="shared" si="6"/>
        <v>2</v>
      </c>
      <c r="E61" s="418">
        <f>'table 1 &amp; 2'!C64/'table 1 &amp; 2'!$C$84*100</f>
        <v>1.5252245499627077</v>
      </c>
      <c r="F61" s="177">
        <f t="shared" si="7"/>
        <v>10</v>
      </c>
      <c r="G61" s="415">
        <f>'table 1 &amp; 2'!D64/'table 1 &amp; 2'!$D$84*100</f>
        <v>8.6149923347251747</v>
      </c>
      <c r="H61" s="177"/>
      <c r="I61" s="415">
        <f>'table 1 &amp; 2'!E64/'table 1 &amp; 2'!$E$84*100</f>
        <v>3.9174430010845853</v>
      </c>
      <c r="J61" s="177">
        <f t="shared" si="8"/>
        <v>7</v>
      </c>
      <c r="K61" s="418">
        <f>'table 1 &amp; 2'!F64/'table 1 &amp; 2'!$F$84*100</f>
        <v>55.26456222154971</v>
      </c>
      <c r="L61" s="415">
        <f>'table 1 &amp; 2'!G64/'table 1 &amp; 2'!$G$84*100</f>
        <v>56.143337088000081</v>
      </c>
      <c r="M61" s="415">
        <f>'table 1 &amp; 2'!H64/'table 1 &amp; 2'!$H$84*100</f>
        <v>55.437163969846083</v>
      </c>
      <c r="N61" s="177">
        <f t="shared" si="9"/>
        <v>1</v>
      </c>
    </row>
    <row r="62" spans="2:35" x14ac:dyDescent="0.2">
      <c r="B62" s="52" t="s">
        <v>44</v>
      </c>
      <c r="C62" s="414">
        <f>'table 1 &amp; 2'!B65/'table 1 &amp; 2'!$B$84*100</f>
        <v>1.3796685354691938</v>
      </c>
      <c r="D62" s="382">
        <f t="shared" si="6"/>
        <v>10</v>
      </c>
      <c r="E62" s="417">
        <f>'table 1 &amp; 2'!C65/'table 1 &amp; 2'!$C$84*100</f>
        <v>1.7882285554843704</v>
      </c>
      <c r="F62" s="382">
        <f t="shared" si="7"/>
        <v>7</v>
      </c>
      <c r="G62" s="414">
        <f>'table 1 &amp; 2'!D65/'table 1 &amp; 2'!$D$84*100</f>
        <v>1.6426446212310664</v>
      </c>
      <c r="H62" s="382"/>
      <c r="I62" s="414">
        <f>'table 1 &amp; 2'!E65/'table 1 &amp; 2'!$E$84*100</f>
        <v>1.7391058501602021</v>
      </c>
      <c r="J62" s="382">
        <f t="shared" si="8"/>
        <v>10</v>
      </c>
      <c r="K62" s="417">
        <f>'table 1 &amp; 2'!F65/'table 1 &amp; 2'!$F$84*100</f>
        <v>0</v>
      </c>
      <c r="L62" s="414">
        <f>'table 1 &amp; 2'!G65/'table 1 &amp; 2'!$G$84*100</f>
        <v>0</v>
      </c>
      <c r="M62" s="414">
        <f>'table 1 &amp; 2'!H65/'table 1 &amp; 2'!$H$84*100</f>
        <v>0</v>
      </c>
      <c r="N62" s="382" t="str">
        <f t="shared" si="9"/>
        <v>N/A</v>
      </c>
    </row>
    <row r="63" spans="2:35" x14ac:dyDescent="0.2">
      <c r="B63" t="s">
        <v>45</v>
      </c>
      <c r="C63" s="415">
        <f>'table 1 &amp; 2'!B66/'table 1 &amp; 2'!$B$84*100</f>
        <v>0.88299952101854684</v>
      </c>
      <c r="D63" s="177">
        <f t="shared" si="6"/>
        <v>16</v>
      </c>
      <c r="E63" s="418">
        <f>'table 1 &amp; 2'!C66/'table 1 &amp; 2'!$C$84*100</f>
        <v>1.4402704460290028</v>
      </c>
      <c r="F63" s="177">
        <f t="shared" si="7"/>
        <v>12</v>
      </c>
      <c r="G63" s="415">
        <f>'table 1 &amp; 2'!D66/'table 1 &amp; 2'!$D$84*100</f>
        <v>0.47047164840009159</v>
      </c>
      <c r="H63" s="177"/>
      <c r="I63" s="415">
        <f>'table 1 &amp; 2'!E66/'table 1 &amp; 2'!$E$84*100</f>
        <v>1.1130424396971397</v>
      </c>
      <c r="J63" s="177">
        <f t="shared" si="8"/>
        <v>16</v>
      </c>
      <c r="K63" s="418">
        <f>'table 1 &amp; 2'!F66/'table 1 &amp; 2'!$F$84*100</f>
        <v>0</v>
      </c>
      <c r="L63" s="415">
        <f>'table 1 &amp; 2'!G66/'table 1 &amp; 2'!$G$84*100</f>
        <v>0</v>
      </c>
      <c r="M63" s="415">
        <f>'table 1 &amp; 2'!H66/'table 1 &amp; 2'!$H$84*100</f>
        <v>0</v>
      </c>
      <c r="N63" s="177" t="str">
        <f t="shared" si="9"/>
        <v>N/A</v>
      </c>
    </row>
    <row r="64" spans="2:35" x14ac:dyDescent="0.2">
      <c r="B64" s="52" t="s">
        <v>46</v>
      </c>
      <c r="C64" s="414">
        <f>'table 1 &amp; 2'!B67/'table 1 &amp; 2'!$B$84*100</f>
        <v>0.57650216748829741</v>
      </c>
      <c r="D64" s="382">
        <f t="shared" si="6"/>
        <v>20</v>
      </c>
      <c r="E64" s="417">
        <f>'table 1 &amp; 2'!C67/'table 1 &amp; 2'!$C$84*100</f>
        <v>0.47491239138169539</v>
      </c>
      <c r="F64" s="382">
        <f t="shared" si="7"/>
        <v>20</v>
      </c>
      <c r="G64" s="414">
        <f>'table 1 &amp; 2'!D67/'table 1 &amp; 2'!$D$84*100</f>
        <v>1.221115383110325</v>
      </c>
      <c r="H64" s="382"/>
      <c r="I64" s="414">
        <f>'table 1 &amp; 2'!E67/'table 1 &amp; 2'!$E$84*100</f>
        <v>0.72669504763908654</v>
      </c>
      <c r="J64" s="382">
        <f t="shared" si="8"/>
        <v>19</v>
      </c>
      <c r="K64" s="417">
        <f>'table 1 &amp; 2'!F67/'table 1 &amp; 2'!$F$84*100</f>
        <v>0</v>
      </c>
      <c r="L64" s="414">
        <f>'table 1 &amp; 2'!G67/'table 1 &amp; 2'!$G$84*100</f>
        <v>0</v>
      </c>
      <c r="M64" s="414">
        <f>'table 1 &amp; 2'!H67/'table 1 &amp; 2'!$H$84*100</f>
        <v>0</v>
      </c>
      <c r="N64" s="382" t="str">
        <f t="shared" si="9"/>
        <v>N/A</v>
      </c>
    </row>
    <row r="65" spans="2:14" x14ac:dyDescent="0.2">
      <c r="B65" t="s">
        <v>47</v>
      </c>
      <c r="C65" s="415">
        <f>'table 1 &amp; 2'!B68/'table 1 &amp; 2'!$B$84*100</f>
        <v>1.0389547561284918</v>
      </c>
      <c r="D65" s="177">
        <f t="shared" si="6"/>
        <v>14</v>
      </c>
      <c r="E65" s="418">
        <f>'table 1 &amp; 2'!C68/'table 1 &amp; 2'!$C$84*100</f>
        <v>0.72766703179268188</v>
      </c>
      <c r="F65" s="177">
        <f t="shared" si="7"/>
        <v>18</v>
      </c>
      <c r="G65" s="415">
        <f>'table 1 &amp; 2'!D68/'table 1 &amp; 2'!$D$84*100</f>
        <v>2.45124659393732</v>
      </c>
      <c r="H65" s="177"/>
      <c r="I65" s="415">
        <f>'table 1 &amp; 2'!E68/'table 1 &amp; 2'!$E$84*100</f>
        <v>1.3092345747241481</v>
      </c>
      <c r="J65" s="177">
        <f t="shared" si="8"/>
        <v>13</v>
      </c>
      <c r="K65" s="418">
        <f>'table 1 &amp; 2'!F68/'table 1 &amp; 2'!$F$84*100</f>
        <v>1.5362593374155539E-3</v>
      </c>
      <c r="L65" s="415">
        <f>'table 1 &amp; 2'!G68/'table 1 &amp; 2'!$G$84*100</f>
        <v>1.3996714943438902E-3</v>
      </c>
      <c r="M65" s="415">
        <f>'table 1 &amp; 2'!H68/'table 1 &amp; 2'!$H$84*100</f>
        <v>1.5094318740796638E-3</v>
      </c>
      <c r="N65" s="177">
        <f t="shared" si="9"/>
        <v>13</v>
      </c>
    </row>
    <row r="66" spans="2:14" x14ac:dyDescent="0.2">
      <c r="B66" s="52" t="s">
        <v>48</v>
      </c>
      <c r="C66" s="414">
        <f>'table 1 &amp; 2'!B69/'table 1 &amp; 2'!$B$84*100</f>
        <v>0.1316964268160295</v>
      </c>
      <c r="D66" s="382">
        <f t="shared" si="6"/>
        <v>30</v>
      </c>
      <c r="E66" s="417">
        <f>'table 1 &amp; 2'!C69/'table 1 &amp; 2'!$C$84*100</f>
        <v>0.11776782724882683</v>
      </c>
      <c r="F66" s="382">
        <f t="shared" si="7"/>
        <v>27</v>
      </c>
      <c r="G66" s="414">
        <f>'table 1 &amp; 2'!D69/'table 1 &amp; 2'!$D$84*100</f>
        <v>0.26073194791621424</v>
      </c>
      <c r="H66" s="382"/>
      <c r="I66" s="414">
        <f>'table 1 &amp; 2'!E69/'table 1 &amp; 2'!$E$84*100</f>
        <v>0.16600655913564236</v>
      </c>
      <c r="J66" s="382">
        <f t="shared" si="8"/>
        <v>30</v>
      </c>
      <c r="K66" s="417">
        <f>'table 1 &amp; 2'!F69/'table 1 &amp; 2'!$F$84*100</f>
        <v>0</v>
      </c>
      <c r="L66" s="414">
        <f>'table 1 &amp; 2'!G69/'table 1 &amp; 2'!$G$84*100</f>
        <v>0</v>
      </c>
      <c r="M66" s="414">
        <f>'table 1 &amp; 2'!H69/'table 1 &amp; 2'!$H$84*100</f>
        <v>0</v>
      </c>
      <c r="N66" s="382" t="str">
        <f t="shared" si="9"/>
        <v>N/A</v>
      </c>
    </row>
    <row r="67" spans="2:14" x14ac:dyDescent="0.2">
      <c r="B67" t="s">
        <v>49</v>
      </c>
      <c r="C67" s="415">
        <f>'table 1 &amp; 2'!B70/'table 1 &amp; 2'!$B$84*100</f>
        <v>1.2969512154290728</v>
      </c>
      <c r="D67" s="177">
        <f t="shared" si="6"/>
        <v>13</v>
      </c>
      <c r="E67" s="418">
        <f>'table 1 &amp; 2'!C70/'table 1 &amp; 2'!$C$84*100</f>
        <v>1.561674202968715</v>
      </c>
      <c r="F67" s="177">
        <f t="shared" si="7"/>
        <v>9</v>
      </c>
      <c r="G67" s="415">
        <f>'table 1 &amp; 2'!D70/'table 1 &amp; 2'!$D$84*100</f>
        <v>1.7785101445549973</v>
      </c>
      <c r="H67" s="177"/>
      <c r="I67" s="415">
        <f>'table 1 &amp; 2'!E70/'table 1 &amp; 2'!$E$84*100</f>
        <v>1.6348386501095564</v>
      </c>
      <c r="J67" s="177">
        <f t="shared" si="8"/>
        <v>12</v>
      </c>
      <c r="K67" s="418">
        <f>'table 1 &amp; 2'!F70/'table 1 &amp; 2'!$F$84*100</f>
        <v>0</v>
      </c>
      <c r="L67" s="415">
        <f>'table 1 &amp; 2'!G70/'table 1 &amp; 2'!$G$84*100</f>
        <v>0</v>
      </c>
      <c r="M67" s="415">
        <f>'table 1 &amp; 2'!H70/'table 1 &amp; 2'!$H$84*100</f>
        <v>0</v>
      </c>
      <c r="N67" s="177" t="str">
        <f t="shared" si="9"/>
        <v>N/A</v>
      </c>
    </row>
    <row r="68" spans="2:14" x14ac:dyDescent="0.2">
      <c r="B68" s="52" t="s">
        <v>50</v>
      </c>
      <c r="C68" s="414">
        <f>'table 1 &amp; 2'!B71/'table 1 &amp; 2'!$B$84*100</f>
        <v>0.26463113262751009</v>
      </c>
      <c r="D68" s="382">
        <f t="shared" si="6"/>
        <v>26</v>
      </c>
      <c r="E68" s="417">
        <f>'table 1 &amp; 2'!C71/'table 1 &amp; 2'!$C$84*100</f>
        <v>0.18813998415427077</v>
      </c>
      <c r="F68" s="382">
        <f t="shared" si="7"/>
        <v>26</v>
      </c>
      <c r="G68" s="414">
        <f>'table 1 &amp; 2'!D71/'table 1 &amp; 2'!$D$84*100</f>
        <v>0.61592208534368642</v>
      </c>
      <c r="H68" s="382"/>
      <c r="I68" s="414">
        <f>'table 1 &amp; 2'!E71/'table 1 &amp; 2'!$E$84*100</f>
        <v>0.332481557333073</v>
      </c>
      <c r="J68" s="382">
        <f t="shared" si="8"/>
        <v>26</v>
      </c>
      <c r="K68" s="417">
        <f>'table 1 &amp; 2'!F71/'table 1 &amp; 2'!$F$84*100</f>
        <v>4.2280853752872062E-3</v>
      </c>
      <c r="L68" s="414">
        <f>'table 1 &amp; 2'!G71/'table 1 &amp; 2'!$G$84*100</f>
        <v>4.0506852922785695E-3</v>
      </c>
      <c r="M68" s="414">
        <f>'table 1 &amp; 2'!H71/'table 1 &amp; 2'!$H$84*100</f>
        <v>4.1932419066763073E-3</v>
      </c>
      <c r="N68" s="382">
        <f t="shared" si="9"/>
        <v>12</v>
      </c>
    </row>
    <row r="69" spans="2:14" x14ac:dyDescent="0.2">
      <c r="B69" t="s">
        <v>51</v>
      </c>
      <c r="C69" s="415">
        <f>'table 1 &amp; 2'!B72/'table 1 &amp; 2'!$B$84*100</f>
        <v>1.3768094430673306</v>
      </c>
      <c r="D69" s="177">
        <f t="shared" si="6"/>
        <v>11</v>
      </c>
      <c r="E69" s="418">
        <f>'table 1 &amp; 2'!C72/'table 1 &amp; 2'!$C$84*100</f>
        <v>1.023312551887207</v>
      </c>
      <c r="F69" s="177">
        <f t="shared" si="7"/>
        <v>15</v>
      </c>
      <c r="G69" s="415">
        <f>'table 1 &amp; 2'!D72/'table 1 &amp; 2'!$D$84*100</f>
        <v>1.4799813174069116</v>
      </c>
      <c r="H69" s="177"/>
      <c r="I69" s="415">
        <f>'table 1 &amp; 2'!E72/'table 1 &amp; 2'!$E$84*100</f>
        <v>1.1774010185468933</v>
      </c>
      <c r="J69" s="177">
        <f t="shared" si="8"/>
        <v>14</v>
      </c>
      <c r="K69" s="418">
        <f>'table 1 &amp; 2'!F72/'table 1 &amp; 2'!$F$84*100</f>
        <v>2.120085340735641</v>
      </c>
      <c r="L69" s="415">
        <f>'table 1 &amp; 2'!G72/'table 1 &amp; 2'!$G$84*100</f>
        <v>2.2327863655571116</v>
      </c>
      <c r="M69" s="415">
        <f>'table 1 &amp; 2'!H72/'table 1 &amp; 2'!$H$84*100</f>
        <v>2.1422211512391351</v>
      </c>
      <c r="N69" s="177">
        <f t="shared" si="9"/>
        <v>4</v>
      </c>
    </row>
    <row r="70" spans="2:14" x14ac:dyDescent="0.2">
      <c r="B70" s="52" t="s">
        <v>52</v>
      </c>
      <c r="C70" s="414">
        <f>'table 1 &amp; 2'!B73/'table 1 &amp; 2'!$B$84*100</f>
        <v>0.56475668558501313</v>
      </c>
      <c r="D70" s="382">
        <f t="shared" si="6"/>
        <v>21</v>
      </c>
      <c r="E70" s="417">
        <f>'table 1 &amp; 2'!C73/'table 1 &amp; 2'!$C$84*100</f>
        <v>0.3429108548321414</v>
      </c>
      <c r="F70" s="382">
        <f t="shared" si="7"/>
        <v>24</v>
      </c>
      <c r="G70" s="414">
        <f>'table 1 &amp; 2'!D73/'table 1 &amp; 2'!$D$84*100</f>
        <v>1.3837163769963594</v>
      </c>
      <c r="H70" s="382"/>
      <c r="I70" s="414">
        <f>'table 1 &amp; 2'!E73/'table 1 &amp; 2'!$E$84*100</f>
        <v>0.69409784003947173</v>
      </c>
      <c r="J70" s="382">
        <f t="shared" si="8"/>
        <v>20</v>
      </c>
      <c r="K70" s="417">
        <f>'table 1 &amp; 2'!F73/'table 1 &amp; 2'!$F$84*100</f>
        <v>6.8799441229897215E-2</v>
      </c>
      <c r="L70" s="414">
        <f>'table 1 &amp; 2'!G73/'table 1 &amp; 2'!$G$84*100</f>
        <v>6.621605738861043E-2</v>
      </c>
      <c r="M70" s="414">
        <f>'table 1 &amp; 2'!H73/'table 1 &amp; 2'!$H$84*100</f>
        <v>6.8292034174290611E-2</v>
      </c>
      <c r="N70" s="382">
        <f t="shared" si="9"/>
        <v>10</v>
      </c>
    </row>
    <row r="71" spans="2:14" x14ac:dyDescent="0.2">
      <c r="B71" t="s">
        <v>53</v>
      </c>
      <c r="C71" s="415">
        <f>'table 1 &amp; 2'!B74/'table 1 &amp; 2'!$B$84*100</f>
        <v>3.8757535687516844</v>
      </c>
      <c r="D71" s="177">
        <f t="shared" si="6"/>
        <v>7</v>
      </c>
      <c r="E71" s="418">
        <f>'table 1 &amp; 2'!C74/'table 1 &amp; 2'!$C$84*100</f>
        <v>2.9311238860320441</v>
      </c>
      <c r="F71" s="177">
        <f t="shared" si="7"/>
        <v>5</v>
      </c>
      <c r="G71" s="415">
        <f>'table 1 &amp; 2'!D74/'table 1 &amp; 2'!$D$84*100</f>
        <v>6.1477631827697383</v>
      </c>
      <c r="H71" s="177"/>
      <c r="I71" s="415">
        <f>'table 1 &amp; 2'!E74/'table 1 &amp; 2'!$E$84*100</f>
        <v>4.0164773291726963</v>
      </c>
      <c r="J71" s="177">
        <f t="shared" si="8"/>
        <v>6</v>
      </c>
      <c r="K71" s="418">
        <f>'table 1 &amp; 2'!F74/'table 1 &amp; 2'!$F$84*100</f>
        <v>3.3344830641566405</v>
      </c>
      <c r="L71" s="415">
        <f>'table 1 &amp; 2'!G74/'table 1 &amp; 2'!$G$84*100</f>
        <v>3.3401584911024909</v>
      </c>
      <c r="M71" s="415">
        <f>'table 1 &amp; 2'!H74/'table 1 &amp; 2'!$H$84*100</f>
        <v>3.3355977849464362</v>
      </c>
      <c r="N71" s="177">
        <f t="shared" si="9"/>
        <v>3</v>
      </c>
    </row>
    <row r="72" spans="2:14" x14ac:dyDescent="0.2">
      <c r="B72" s="52" t="s">
        <v>54</v>
      </c>
      <c r="C72" s="414">
        <f>'table 1 &amp; 2'!B75/'table 1 &amp; 2'!$B$84*100</f>
        <v>0.67232246785959626</v>
      </c>
      <c r="D72" s="382">
        <f t="shared" si="6"/>
        <v>18</v>
      </c>
      <c r="E72" s="417">
        <f>'table 1 &amp; 2'!C75/'table 1 &amp; 2'!$C$84*100</f>
        <v>0.77010661253807966</v>
      </c>
      <c r="F72" s="382">
        <f t="shared" si="7"/>
        <v>17</v>
      </c>
      <c r="G72" s="414">
        <f>'table 1 &amp; 2'!D75/'table 1 &amp; 2'!$D$84*100</f>
        <v>0.99941316566090599</v>
      </c>
      <c r="H72" s="382"/>
      <c r="I72" s="414">
        <f>'table 1 &amp; 2'!E75/'table 1 &amp; 2'!$E$84*100</f>
        <v>0.84747887408415568</v>
      </c>
      <c r="J72" s="382">
        <f t="shared" si="8"/>
        <v>17</v>
      </c>
      <c r="K72" s="417">
        <f>'table 1 &amp; 2'!F75/'table 1 &amp; 2'!$F$84*100</f>
        <v>0</v>
      </c>
      <c r="L72" s="414">
        <f>'table 1 &amp; 2'!G75/'table 1 &amp; 2'!$G$84*100</f>
        <v>0</v>
      </c>
      <c r="M72" s="414">
        <f>'table 1 &amp; 2'!H75/'table 1 &amp; 2'!$H$84*100</f>
        <v>0</v>
      </c>
      <c r="N72" s="382" t="str">
        <f t="shared" si="9"/>
        <v>N/A</v>
      </c>
    </row>
    <row r="73" spans="2:14" x14ac:dyDescent="0.2">
      <c r="B73" t="s">
        <v>55</v>
      </c>
      <c r="C73" s="415">
        <f>'table 1 &amp; 2'!B76/'table 1 &amp; 2'!$B$84*100</f>
        <v>6.1289740130738002</v>
      </c>
      <c r="D73" s="177">
        <f t="shared" si="6"/>
        <v>6</v>
      </c>
      <c r="E73" s="418">
        <f>'table 1 &amp; 2'!C76/'table 1 &amp; 2'!$C$84*100</f>
        <v>8.9486760361660664</v>
      </c>
      <c r="F73" s="177">
        <f t="shared" si="7"/>
        <v>3</v>
      </c>
      <c r="G73" s="415">
        <f>'table 1 &amp; 2'!D76/'table 1 &amp; 2'!$D$84*100</f>
        <v>4.8606296330184788</v>
      </c>
      <c r="H73" s="177"/>
      <c r="I73" s="415">
        <f>'table 1 &amp; 2'!E76/'table 1 &amp; 2'!$E$84*100</f>
        <v>7.5692937585588291</v>
      </c>
      <c r="J73" s="177">
        <f t="shared" si="8"/>
        <v>4</v>
      </c>
      <c r="K73" s="418">
        <f>'table 1 &amp; 2'!F76/'table 1 &amp; 2'!$F$84*100</f>
        <v>0.59569648935933395</v>
      </c>
      <c r="L73" s="415">
        <f>'table 1 &amp; 2'!G76/'table 1 &amp; 2'!$G$84*100</f>
        <v>0.6198131394793347</v>
      </c>
      <c r="M73" s="415">
        <f>'table 1 &amp; 2'!H76/'table 1 &amp; 2'!$H$84*100</f>
        <v>0.60043328388166461</v>
      </c>
      <c r="N73" s="177">
        <f t="shared" si="9"/>
        <v>5</v>
      </c>
    </row>
    <row r="74" spans="2:14" x14ac:dyDescent="0.2">
      <c r="B74" s="52" t="s">
        <v>56</v>
      </c>
      <c r="C74" s="414">
        <f>'table 1 &amp; 2'!B77/'table 1 &amp; 2'!$B$84*100</f>
        <v>8.2873432844631179</v>
      </c>
      <c r="D74" s="382">
        <f t="shared" si="6"/>
        <v>4</v>
      </c>
      <c r="E74" s="417">
        <f>'table 1 &amp; 2'!C77/'table 1 &amp; 2'!$C$84*100</f>
        <v>11.952119129534474</v>
      </c>
      <c r="F74" s="382">
        <f t="shared" si="7"/>
        <v>2</v>
      </c>
      <c r="G74" s="414">
        <f>'table 1 &amp; 2'!D77/'table 1 &amp; 2'!$D$84*100</f>
        <v>7.489646113766427</v>
      </c>
      <c r="H74" s="382"/>
      <c r="I74" s="414">
        <f>'table 1 &amp; 2'!E77/'table 1 &amp; 2'!$E$84*100</f>
        <v>10.446398404957673</v>
      </c>
      <c r="J74" s="382">
        <f t="shared" si="8"/>
        <v>2</v>
      </c>
      <c r="K74" s="417">
        <f>'table 1 &amp; 2'!F77/'table 1 &amp; 2'!$F$84*100</f>
        <v>0</v>
      </c>
      <c r="L74" s="414">
        <f>'table 1 &amp; 2'!G77/'table 1 &amp; 2'!$G$84*100</f>
        <v>0</v>
      </c>
      <c r="M74" s="414">
        <f>'table 1 &amp; 2'!H77/'table 1 &amp; 2'!$H$84*100</f>
        <v>0</v>
      </c>
      <c r="N74" s="382" t="str">
        <f t="shared" si="9"/>
        <v>N/A</v>
      </c>
    </row>
    <row r="75" spans="2:14" x14ac:dyDescent="0.2">
      <c r="B75" t="s">
        <v>57</v>
      </c>
      <c r="C75" s="415">
        <f>'table 1 &amp; 2'!B78/'table 1 &amp; 2'!$B$84*100</f>
        <v>0.33044251588825363</v>
      </c>
      <c r="D75" s="177">
        <f t="shared" si="6"/>
        <v>25</v>
      </c>
      <c r="E75" s="418">
        <f>'table 1 &amp; 2'!C78/'table 1 &amp; 2'!$C$84*100</f>
        <v>0.36048216450444015</v>
      </c>
      <c r="F75" s="177">
        <f t="shared" si="7"/>
        <v>23</v>
      </c>
      <c r="G75" s="415">
        <f>'table 1 &amp; 2'!D78/'table 1 &amp; 2'!$D$84*100</f>
        <v>0.52659249146994669</v>
      </c>
      <c r="H75" s="177"/>
      <c r="I75" s="415">
        <f>'table 1 &amp; 2'!E78/'table 1 &amp; 2'!$E$84*100</f>
        <v>0.41653085342522783</v>
      </c>
      <c r="J75" s="177">
        <f t="shared" si="8"/>
        <v>25</v>
      </c>
      <c r="K75" s="418">
        <f>'table 1 &amp; 2'!F78/'table 1 &amp; 2'!$F$84*100</f>
        <v>0</v>
      </c>
      <c r="L75" s="415">
        <f>'table 1 &amp; 2'!G78/'table 1 &amp; 2'!$G$84*100</f>
        <v>0</v>
      </c>
      <c r="M75" s="415">
        <f>'table 1 &amp; 2'!H78/'table 1 &amp; 2'!$H$84*100</f>
        <v>0</v>
      </c>
      <c r="N75" s="177" t="str">
        <f t="shared" si="9"/>
        <v>N/A</v>
      </c>
    </row>
    <row r="76" spans="2:14" x14ac:dyDescent="0.2">
      <c r="B76" s="52" t="s">
        <v>58</v>
      </c>
      <c r="C76" s="414">
        <f>'table 1 &amp; 2'!B79/'table 1 &amp; 2'!$B$84*100</f>
        <v>0.41914776913799678</v>
      </c>
      <c r="D76" s="382">
        <f t="shared" si="6"/>
        <v>24</v>
      </c>
      <c r="E76" s="417">
        <f>'table 1 &amp; 2'!C79/'table 1 &amp; 2'!$C$84*100</f>
        <v>0.41382666734368234</v>
      </c>
      <c r="F76" s="382">
        <f t="shared" si="7"/>
        <v>21</v>
      </c>
      <c r="G76" s="414">
        <f>'table 1 &amp; 2'!D79/'table 1 &amp; 2'!$D$84*100</f>
        <v>0.75322518662524862</v>
      </c>
      <c r="H76" s="382"/>
      <c r="I76" s="414">
        <f>'table 1 &amp; 2'!E79/'table 1 &amp; 2'!$E$84*100</f>
        <v>0.52834598938040678</v>
      </c>
      <c r="J76" s="382">
        <f t="shared" si="8"/>
        <v>24</v>
      </c>
      <c r="K76" s="417">
        <f>'table 1 &amp; 2'!F79/'table 1 &amp; 2'!$F$84*100</f>
        <v>0</v>
      </c>
      <c r="L76" s="414">
        <f>'table 1 &amp; 2'!G79/'table 1 &amp; 2'!$G$84*100</f>
        <v>0</v>
      </c>
      <c r="M76" s="414">
        <f>'table 1 &amp; 2'!H79/'table 1 &amp; 2'!$H$84*100</f>
        <v>0</v>
      </c>
      <c r="N76" s="382" t="str">
        <f t="shared" si="9"/>
        <v>N/A</v>
      </c>
    </row>
    <row r="77" spans="2:14" x14ac:dyDescent="0.2">
      <c r="B77" t="s">
        <v>59</v>
      </c>
      <c r="C77" s="415">
        <f>'table 1 &amp; 2'!B80/'table 1 &amp; 2'!$B$84*100</f>
        <v>1.3533956812106613</v>
      </c>
      <c r="D77" s="177">
        <f t="shared" si="6"/>
        <v>12</v>
      </c>
      <c r="E77" s="418">
        <f>'table 1 &amp; 2'!C80/'table 1 &amp; 2'!$C$84*100</f>
        <v>1.4332853782344674</v>
      </c>
      <c r="F77" s="177">
        <f t="shared" si="7"/>
        <v>13</v>
      </c>
      <c r="G77" s="415">
        <f>'table 1 &amp; 2'!D80/'table 1 &amp; 2'!$D$84*100</f>
        <v>2.2414892531959261</v>
      </c>
      <c r="H77" s="177"/>
      <c r="I77" s="415">
        <f>'table 1 &amp; 2'!E80/'table 1 &amp; 2'!$E$84*100</f>
        <v>1.7059882763613032</v>
      </c>
      <c r="J77" s="177">
        <f t="shared" si="8"/>
        <v>11</v>
      </c>
      <c r="K77" s="418">
        <f>'table 1 &amp; 2'!F80/'table 1 &amp; 2'!$F$84*100</f>
        <v>0</v>
      </c>
      <c r="L77" s="415">
        <f>'table 1 &amp; 2'!G80/'table 1 &amp; 2'!$G$84*100</f>
        <v>0</v>
      </c>
      <c r="M77" s="415">
        <f>'table 1 &amp; 2'!H80/'table 1 &amp; 2'!$H$84*100</f>
        <v>0</v>
      </c>
      <c r="N77" s="177" t="str">
        <f t="shared" si="9"/>
        <v>N/A</v>
      </c>
    </row>
    <row r="78" spans="2:14" x14ac:dyDescent="0.2">
      <c r="B78" s="52" t="s">
        <v>60</v>
      </c>
      <c r="C78" s="414">
        <f>'table 1 &amp; 2'!B81/'table 1 &amp; 2'!$B$84*100</f>
        <v>0.44289369716861721</v>
      </c>
      <c r="D78" s="382">
        <f t="shared" si="6"/>
        <v>23</v>
      </c>
      <c r="E78" s="417">
        <f>'table 1 &amp; 2'!C81/'table 1 &amp; 2'!$C$84*100</f>
        <v>0.33841255676908238</v>
      </c>
      <c r="F78" s="382">
        <f t="shared" si="7"/>
        <v>25</v>
      </c>
      <c r="G78" s="414">
        <f>'table 1 &amp; 2'!D81/'table 1 &amp; 2'!$D$84*100</f>
        <v>0.99002409362863431</v>
      </c>
      <c r="H78" s="382"/>
      <c r="I78" s="414">
        <f>'table 1 &amp; 2'!E81/'table 1 &amp; 2'!$E$84*100</f>
        <v>0.5582783110169881</v>
      </c>
      <c r="J78" s="382">
        <f t="shared" si="8"/>
        <v>23</v>
      </c>
      <c r="K78" s="417">
        <f>'table 1 &amp; 2'!F81/'table 1 &amp; 2'!$F$84*100</f>
        <v>0</v>
      </c>
      <c r="L78" s="414">
        <f>'table 1 &amp; 2'!G81/'table 1 &amp; 2'!$G$84*100</f>
        <v>0</v>
      </c>
      <c r="M78" s="414">
        <f>'table 1 &amp; 2'!H81/'table 1 &amp; 2'!$H$84*100</f>
        <v>0</v>
      </c>
      <c r="N78" s="382" t="str">
        <f t="shared" si="9"/>
        <v>N/A</v>
      </c>
    </row>
    <row r="79" spans="2:14" x14ac:dyDescent="0.2">
      <c r="B79" t="s">
        <v>61</v>
      </c>
      <c r="C79" s="415">
        <f>'table 1 &amp; 2'!B82/'table 1 &amp; 2'!$B$84*100</f>
        <v>0.16155888486062506</v>
      </c>
      <c r="D79" s="177">
        <f t="shared" si="6"/>
        <v>28</v>
      </c>
      <c r="E79" s="418">
        <f>'table 1 &amp; 2'!C82/'table 1 &amp; 2'!$C$84*100</f>
        <v>7.4246016929401901E-2</v>
      </c>
      <c r="F79" s="177">
        <f t="shared" si="7"/>
        <v>30</v>
      </c>
      <c r="G79" s="415">
        <f>'table 1 &amp; 2'!D82/'table 1 &amp; 2'!$D$84*100</f>
        <v>0.43193395800844431</v>
      </c>
      <c r="H79" s="177"/>
      <c r="I79" s="415">
        <f>'table 1 &amp; 2'!E82/'table 1 &amp; 2'!$E$84*100</f>
        <v>0.19493652730579339</v>
      </c>
      <c r="J79" s="177">
        <f t="shared" si="8"/>
        <v>29</v>
      </c>
      <c r="K79" s="418">
        <f>'table 1 &amp; 2'!F82/'table 1 &amp; 2'!$F$84*100</f>
        <v>3.3825469847661833E-2</v>
      </c>
      <c r="L79" s="415">
        <f>'table 1 &amp; 2'!G82/'table 1 &amp; 2'!$G$84*100</f>
        <v>3.1871761346763318E-2</v>
      </c>
      <c r="M79" s="415">
        <f>'table 1 &amp; 2'!H82/'table 1 &amp; 2'!$H$84*100</f>
        <v>3.3441738455480971E-2</v>
      </c>
      <c r="N79" s="177">
        <f t="shared" si="9"/>
        <v>11</v>
      </c>
    </row>
    <row r="80" spans="2:14" x14ac:dyDescent="0.2">
      <c r="B80" s="52" t="s">
        <v>62</v>
      </c>
      <c r="C80" s="414">
        <f>'table 1 &amp; 2'!B83/'table 1 &amp; 2'!$B$84*100</f>
        <v>2.2509949132164686</v>
      </c>
      <c r="D80" s="382">
        <f t="shared" si="6"/>
        <v>8</v>
      </c>
      <c r="E80" s="417">
        <f>'table 1 &amp; 2'!C83/'table 1 &amp; 2'!$C$84*100</f>
        <v>2.8703064224207391</v>
      </c>
      <c r="F80" s="382">
        <f t="shared" si="7"/>
        <v>6</v>
      </c>
      <c r="G80" s="414">
        <f>'table 1 &amp; 2'!D83/'table 1 &amp; 2'!$D$84*100</f>
        <v>2.7728831352930072</v>
      </c>
      <c r="H80" s="382"/>
      <c r="I80" s="414">
        <f>'table 1 &amp; 2'!E83/'table 1 &amp; 2'!$E$84*100</f>
        <v>2.8374340079621452</v>
      </c>
      <c r="J80" s="382">
        <f t="shared" si="8"/>
        <v>8</v>
      </c>
      <c r="K80" s="417">
        <f>'table 1 &amp; 2'!F83/'table 1 &amp; 2'!$F$84*100</f>
        <v>0</v>
      </c>
      <c r="L80" s="414">
        <f>'table 1 &amp; 2'!G83/'table 1 &amp; 2'!$G$84*100</f>
        <v>0</v>
      </c>
      <c r="M80" s="414">
        <f>'table 1 &amp; 2'!H83/'table 1 &amp; 2'!$H$84*100</f>
        <v>0</v>
      </c>
      <c r="N80" s="382" t="str">
        <f t="shared" si="9"/>
        <v>N/A</v>
      </c>
    </row>
    <row r="81" spans="2:15" ht="13.5" thickBot="1" x14ac:dyDescent="0.25">
      <c r="B81" s="47" t="s">
        <v>333</v>
      </c>
      <c r="C81" s="416">
        <f>SUM(C48:C80)</f>
        <v>100.00000000000001</v>
      </c>
      <c r="D81" s="419"/>
      <c r="E81" s="416">
        <f>SUM(E48:E80)</f>
        <v>100.00000000000001</v>
      </c>
      <c r="F81" s="420"/>
      <c r="G81" s="416">
        <f>SUM(G48:G80)</f>
        <v>99.999999999999972</v>
      </c>
      <c r="H81" s="420"/>
      <c r="I81" s="416">
        <f>SUM(I48:I80)</f>
        <v>100.00000000000001</v>
      </c>
      <c r="J81" s="421"/>
      <c r="K81" s="416">
        <f t="shared" ref="K81:M81" si="10">SUM(K48:K80)</f>
        <v>100</v>
      </c>
      <c r="L81" s="416">
        <f t="shared" si="10"/>
        <v>99.999999999999986</v>
      </c>
      <c r="M81" s="416">
        <f t="shared" si="10"/>
        <v>100.00000000000001</v>
      </c>
      <c r="N81" s="419"/>
    </row>
    <row r="82" spans="2:15" x14ac:dyDescent="0.2">
      <c r="B82" t="s">
        <v>407</v>
      </c>
    </row>
    <row r="84" spans="2:15" ht="15" x14ac:dyDescent="0.2">
      <c r="G84" s="106"/>
    </row>
    <row r="85" spans="2:15" ht="15" x14ac:dyDescent="0.2">
      <c r="B85" s="604">
        <f>'Tables 9 &amp; 10'!B79:J79+1</f>
        <v>14</v>
      </c>
      <c r="C85" s="604"/>
      <c r="D85" s="604"/>
      <c r="E85" s="604"/>
      <c r="F85" s="604"/>
      <c r="G85" s="604"/>
      <c r="H85" s="604"/>
      <c r="I85" s="604"/>
      <c r="J85" s="604"/>
      <c r="K85" s="604"/>
      <c r="L85" s="604"/>
      <c r="M85" s="604"/>
      <c r="N85" s="604"/>
    </row>
    <row r="86" spans="2:15" x14ac:dyDescent="0.2">
      <c r="N86" s="46"/>
      <c r="O86" s="46"/>
    </row>
    <row r="87" spans="2:15" x14ac:dyDescent="0.2">
      <c r="F87" s="339"/>
      <c r="G87" s="46"/>
      <c r="J87" s="177"/>
      <c r="K87" s="46"/>
      <c r="N87" s="46"/>
      <c r="O87" s="46"/>
    </row>
    <row r="88" spans="2:15" x14ac:dyDescent="0.2">
      <c r="F88" s="221"/>
      <c r="G88" s="46"/>
      <c r="J88" s="338"/>
      <c r="K88" s="46"/>
      <c r="N88" s="338"/>
      <c r="O88" s="46"/>
    </row>
    <row r="89" spans="2:15" x14ac:dyDescent="0.2">
      <c r="F89" s="221"/>
      <c r="G89" s="46"/>
      <c r="J89" s="338"/>
      <c r="K89" s="46"/>
      <c r="N89" s="338"/>
      <c r="O89" s="46"/>
    </row>
    <row r="90" spans="2:15" x14ac:dyDescent="0.2">
      <c r="F90" s="221"/>
      <c r="G90" s="46"/>
      <c r="J90" s="338"/>
      <c r="K90" s="46"/>
      <c r="N90" s="338"/>
      <c r="O90" s="46"/>
    </row>
    <row r="91" spans="2:15" x14ac:dyDescent="0.2">
      <c r="F91" s="221"/>
      <c r="G91" s="46"/>
      <c r="J91" s="338"/>
      <c r="K91" s="46"/>
      <c r="N91" s="338"/>
      <c r="O91" s="46"/>
    </row>
    <row r="92" spans="2:15" x14ac:dyDescent="0.2">
      <c r="F92" s="221"/>
      <c r="G92" s="46"/>
      <c r="J92" s="338"/>
      <c r="K92" s="46"/>
      <c r="N92" s="338"/>
      <c r="O92" s="46"/>
    </row>
    <row r="93" spans="2:15" x14ac:dyDescent="0.2">
      <c r="F93" s="221"/>
      <c r="G93" s="46"/>
      <c r="J93" s="338"/>
      <c r="K93" s="46"/>
      <c r="N93" s="338"/>
      <c r="O93" s="46"/>
    </row>
    <row r="94" spans="2:15" x14ac:dyDescent="0.2">
      <c r="F94" s="221"/>
      <c r="G94" s="46"/>
      <c r="J94" s="338"/>
      <c r="K94" s="46"/>
      <c r="N94" s="338"/>
      <c r="O94" s="46"/>
    </row>
    <row r="95" spans="2:15" x14ac:dyDescent="0.2">
      <c r="F95" s="221"/>
      <c r="G95" s="46"/>
      <c r="J95" s="338"/>
      <c r="K95" s="46"/>
      <c r="N95" s="338"/>
      <c r="O95" s="46"/>
    </row>
    <row r="96" spans="2:15" x14ac:dyDescent="0.2">
      <c r="F96" s="221"/>
      <c r="G96" s="46"/>
      <c r="J96" s="338"/>
      <c r="K96" s="46"/>
      <c r="N96" s="338"/>
      <c r="O96" s="46"/>
    </row>
    <row r="97" spans="6:15" x14ac:dyDescent="0.2">
      <c r="F97" s="221"/>
      <c r="G97" s="46"/>
      <c r="J97" s="338"/>
      <c r="K97" s="46"/>
      <c r="N97" s="338"/>
      <c r="O97" s="46"/>
    </row>
    <row r="98" spans="6:15" x14ac:dyDescent="0.2">
      <c r="F98" s="221"/>
      <c r="G98" s="46"/>
      <c r="J98" s="338"/>
      <c r="K98" s="46"/>
      <c r="N98" s="338"/>
      <c r="O98" s="46"/>
    </row>
    <row r="99" spans="6:15" x14ac:dyDescent="0.2">
      <c r="F99" s="221"/>
      <c r="G99" s="46"/>
      <c r="J99" s="338"/>
      <c r="K99" s="46"/>
      <c r="N99" s="338"/>
      <c r="O99" s="46"/>
    </row>
    <row r="100" spans="6:15" x14ac:dyDescent="0.2">
      <c r="F100" s="221"/>
      <c r="G100" s="46"/>
      <c r="J100" s="338"/>
      <c r="K100" s="46"/>
      <c r="N100" s="338"/>
      <c r="O100" s="46"/>
    </row>
    <row r="101" spans="6:15" x14ac:dyDescent="0.2">
      <c r="F101" s="221"/>
      <c r="G101" s="46"/>
      <c r="J101" s="338"/>
      <c r="K101" s="46"/>
      <c r="N101" s="338"/>
      <c r="O101" s="46"/>
    </row>
    <row r="102" spans="6:15" x14ac:dyDescent="0.2">
      <c r="F102" s="221"/>
      <c r="G102" s="46"/>
      <c r="J102" s="338"/>
      <c r="K102" s="46"/>
      <c r="N102" s="338"/>
      <c r="O102" s="46"/>
    </row>
    <row r="103" spans="6:15" x14ac:dyDescent="0.2">
      <c r="F103" s="221"/>
      <c r="G103" s="46"/>
      <c r="J103" s="338"/>
      <c r="K103" s="46"/>
      <c r="N103" s="338"/>
      <c r="O103" s="46"/>
    </row>
    <row r="104" spans="6:15" x14ac:dyDescent="0.2">
      <c r="F104" s="221"/>
      <c r="G104" s="46"/>
      <c r="J104" s="338"/>
      <c r="K104" s="46"/>
      <c r="N104" s="338"/>
      <c r="O104" s="46"/>
    </row>
    <row r="105" spans="6:15" x14ac:dyDescent="0.2">
      <c r="F105" s="221"/>
      <c r="G105" s="46"/>
      <c r="J105" s="338"/>
      <c r="K105" s="46"/>
      <c r="N105" s="338"/>
      <c r="O105" s="46"/>
    </row>
    <row r="106" spans="6:15" x14ac:dyDescent="0.2">
      <c r="F106" s="221"/>
      <c r="G106" s="46"/>
      <c r="J106" s="338"/>
      <c r="K106" s="46"/>
      <c r="N106" s="338"/>
      <c r="O106" s="46"/>
    </row>
    <row r="107" spans="6:15" x14ac:dyDescent="0.2">
      <c r="F107" s="221"/>
      <c r="G107" s="46"/>
      <c r="J107" s="338"/>
      <c r="K107" s="46"/>
      <c r="N107" s="338"/>
      <c r="O107" s="46"/>
    </row>
    <row r="108" spans="6:15" x14ac:dyDescent="0.2">
      <c r="F108" s="221"/>
      <c r="G108" s="46"/>
      <c r="J108" s="338"/>
      <c r="K108" s="46"/>
      <c r="N108" s="338"/>
      <c r="O108" s="46"/>
    </row>
    <row r="109" spans="6:15" x14ac:dyDescent="0.2">
      <c r="F109" s="221"/>
      <c r="G109" s="46"/>
      <c r="J109" s="338"/>
      <c r="K109" s="46"/>
      <c r="N109" s="338"/>
      <c r="O109" s="46"/>
    </row>
    <row r="110" spans="6:15" x14ac:dyDescent="0.2">
      <c r="F110" s="221"/>
      <c r="G110" s="46"/>
      <c r="J110" s="338"/>
      <c r="K110" s="46"/>
      <c r="N110" s="338"/>
      <c r="O110" s="46"/>
    </row>
    <row r="111" spans="6:15" x14ac:dyDescent="0.2">
      <c r="F111" s="221"/>
      <c r="G111" s="46"/>
      <c r="J111" s="338"/>
      <c r="K111" s="46"/>
      <c r="N111" s="338"/>
      <c r="O111" s="46"/>
    </row>
    <row r="112" spans="6:15" x14ac:dyDescent="0.2">
      <c r="F112" s="221"/>
      <c r="G112" s="46"/>
      <c r="J112" s="338"/>
      <c r="K112" s="46"/>
      <c r="N112" s="338"/>
      <c r="O112" s="46"/>
    </row>
    <row r="113" spans="6:15" x14ac:dyDescent="0.2">
      <c r="F113" s="221"/>
      <c r="G113" s="46"/>
      <c r="J113" s="338"/>
      <c r="K113" s="46"/>
      <c r="N113" s="338"/>
      <c r="O113" s="46"/>
    </row>
    <row r="114" spans="6:15" x14ac:dyDescent="0.2">
      <c r="F114" s="221"/>
      <c r="G114" s="46"/>
      <c r="J114" s="338"/>
      <c r="K114" s="46"/>
      <c r="N114" s="338"/>
      <c r="O114" s="46"/>
    </row>
    <row r="115" spans="6:15" x14ac:dyDescent="0.2">
      <c r="F115" s="221"/>
      <c r="G115" s="46"/>
      <c r="J115" s="338"/>
      <c r="K115" s="46"/>
      <c r="N115" s="338"/>
      <c r="O115" s="46"/>
    </row>
    <row r="116" spans="6:15" x14ac:dyDescent="0.2">
      <c r="F116" s="221"/>
      <c r="G116" s="46"/>
      <c r="J116" s="338"/>
      <c r="K116" s="46"/>
      <c r="N116" s="338"/>
      <c r="O116" s="46"/>
    </row>
    <row r="117" spans="6:15" x14ac:dyDescent="0.2">
      <c r="F117" s="221"/>
      <c r="G117" s="46"/>
      <c r="J117" s="338"/>
      <c r="K117" s="46"/>
      <c r="N117" s="338"/>
      <c r="O117" s="46"/>
    </row>
    <row r="118" spans="6:15" x14ac:dyDescent="0.2">
      <c r="F118" s="221"/>
      <c r="G118" s="46"/>
      <c r="J118" s="338"/>
      <c r="K118" s="46"/>
      <c r="N118" s="338"/>
      <c r="O118" s="46"/>
    </row>
    <row r="119" spans="6:15" x14ac:dyDescent="0.2">
      <c r="F119" s="221"/>
      <c r="G119" s="46"/>
      <c r="J119" s="338"/>
      <c r="K119" s="46"/>
      <c r="N119" s="338"/>
      <c r="O119" s="46"/>
    </row>
    <row r="120" spans="6:15" x14ac:dyDescent="0.2">
      <c r="F120" s="221"/>
      <c r="G120" s="46"/>
      <c r="J120" s="338"/>
      <c r="K120" s="46"/>
      <c r="N120" s="338"/>
      <c r="O120" s="46"/>
    </row>
    <row r="121" spans="6:15" x14ac:dyDescent="0.2">
      <c r="F121" s="221"/>
      <c r="G121" s="46"/>
      <c r="J121" s="338"/>
      <c r="K121" s="338"/>
      <c r="N121" s="338"/>
      <c r="O121" s="338"/>
    </row>
  </sheetData>
  <mergeCells count="1">
    <mergeCell ref="B85:N85"/>
  </mergeCells>
  <phoneticPr fontId="38" type="noConversion"/>
  <printOptions horizontalCentered="1" verticalCentered="1"/>
  <pageMargins left="0.75" right="0.75" top="0.28999999999999998" bottom="0.5" header="0.5" footer="0.3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B1:V86"/>
  <sheetViews>
    <sheetView showGridLines="0" topLeftCell="A54" zoomScaleNormal="100" zoomScaleSheetLayoutView="110" workbookViewId="0">
      <selection activeCell="B1" sqref="B1"/>
    </sheetView>
  </sheetViews>
  <sheetFormatPr defaultRowHeight="12.75" x14ac:dyDescent="0.2"/>
  <cols>
    <col min="2" max="2" width="10.85546875" customWidth="1"/>
    <col min="3" max="3" width="5.5703125" customWidth="1"/>
    <col min="4" max="4" width="10.140625" customWidth="1"/>
    <col min="5" max="5" width="9.42578125" customWidth="1"/>
    <col min="6" max="6" width="7.85546875" customWidth="1"/>
    <col min="7" max="8" width="9.85546875" customWidth="1"/>
    <col min="9" max="9" width="7.85546875" customWidth="1"/>
    <col min="10" max="10" width="1.42578125" customWidth="1"/>
  </cols>
  <sheetData>
    <row r="1" spans="2:22" ht="15.75" x14ac:dyDescent="0.25">
      <c r="B1" s="1" t="s">
        <v>444</v>
      </c>
    </row>
    <row r="2" spans="2:22" ht="15.75" x14ac:dyDescent="0.25">
      <c r="B2" s="1" t="s">
        <v>497</v>
      </c>
      <c r="E2" s="332"/>
      <c r="F2" s="3" t="str">
        <f>'table 1 &amp; 2'!C2</f>
        <v>2022 Tax Year</v>
      </c>
    </row>
    <row r="4" spans="2:22" x14ac:dyDescent="0.2">
      <c r="B4" s="7" t="s">
        <v>505</v>
      </c>
      <c r="H4" s="7" t="str">
        <f>F2</f>
        <v>2022 Tax Year</v>
      </c>
      <c r="L4" s="583" t="s">
        <v>566</v>
      </c>
      <c r="M4" s="438"/>
      <c r="N4" s="438"/>
      <c r="O4" s="438"/>
      <c r="P4" s="438"/>
      <c r="Q4" s="438"/>
      <c r="R4" s="438"/>
      <c r="S4" s="438"/>
      <c r="T4" s="438"/>
      <c r="U4" s="438"/>
      <c r="V4" s="438"/>
    </row>
    <row r="5" spans="2:22" x14ac:dyDescent="0.2">
      <c r="B5" s="7" t="s">
        <v>405</v>
      </c>
    </row>
    <row r="6" spans="2:22" x14ac:dyDescent="0.2">
      <c r="B6" s="7"/>
      <c r="D6" s="122"/>
      <c r="E6" s="46" t="s">
        <v>5</v>
      </c>
      <c r="G6" s="208" t="s">
        <v>338</v>
      </c>
    </row>
    <row r="7" spans="2:22" x14ac:dyDescent="0.2">
      <c r="B7" s="117" t="s">
        <v>27</v>
      </c>
      <c r="C7" s="220" t="s">
        <v>8</v>
      </c>
      <c r="D7" s="223" t="s">
        <v>9</v>
      </c>
      <c r="E7" s="125" t="s">
        <v>66</v>
      </c>
      <c r="F7" s="125" t="s">
        <v>29</v>
      </c>
      <c r="G7" s="223" t="s">
        <v>30</v>
      </c>
      <c r="H7" s="125" t="s">
        <v>10</v>
      </c>
      <c r="I7" s="125" t="s">
        <v>29</v>
      </c>
      <c r="L7" s="177"/>
    </row>
    <row r="8" spans="2:22" x14ac:dyDescent="0.2">
      <c r="B8" s="52" t="s">
        <v>31</v>
      </c>
      <c r="C8" s="227">
        <f>'table 1 &amp; 2'!B9/'table 1 &amp; 2'!$B$9*100</f>
        <v>100</v>
      </c>
      <c r="D8" s="228">
        <f>'table 1 &amp; 2'!C9/'table 1 &amp; 2'!$B$9*100</f>
        <v>79.138416804866424</v>
      </c>
      <c r="E8" s="227">
        <f>'table 1 &amp; 2'!D9/'table 1 &amp; 2'!$B$9*100</f>
        <v>20.861583195133573</v>
      </c>
      <c r="F8" s="227">
        <f>'table 1 &amp; 2'!E9/'table 1 &amp; 2'!$B$9*100</f>
        <v>100</v>
      </c>
      <c r="G8" s="228">
        <f>'table 1 &amp; 2'!F9/'table 1 &amp; 2'!$B$9*100</f>
        <v>0</v>
      </c>
      <c r="H8" s="227">
        <f>'table 1 &amp; 2'!G9/'table 1 &amp; 2'!$B$9*100</f>
        <v>0</v>
      </c>
      <c r="I8" s="227">
        <f>'table 1 &amp; 2'!H9/'table 1 &amp; 2'!$B$9*100</f>
        <v>0</v>
      </c>
    </row>
    <row r="9" spans="2:22" x14ac:dyDescent="0.2">
      <c r="B9" t="s">
        <v>32</v>
      </c>
      <c r="C9" s="221">
        <f>'table 1 &amp; 2'!B10/'table 1 &amp; 2'!$B$10*100</f>
        <v>100</v>
      </c>
      <c r="D9" s="224">
        <f>'table 1 &amp; 2'!C10/'table 1 &amp; 2'!$B$10*100</f>
        <v>59.268765348005694</v>
      </c>
      <c r="E9" s="221">
        <f>'table 1 &amp; 2'!D10/'table 1 &amp; 2'!$B$10*100</f>
        <v>40.731234651994299</v>
      </c>
      <c r="F9" s="221">
        <f>'table 1 &amp; 2'!E10/'table 1 &amp; 2'!$B$10*100</f>
        <v>100</v>
      </c>
      <c r="G9" s="224">
        <f>'table 1 &amp; 2'!F10/'table 1 &amp; 2'!$B$10*100</f>
        <v>0</v>
      </c>
      <c r="H9" s="221">
        <f>'table 1 &amp; 2'!G10/'table 1 &amp; 2'!$B$10*100</f>
        <v>0</v>
      </c>
      <c r="I9" s="221">
        <f>'table 1 &amp; 2'!H10/'table 1 &amp; 2'!$B$10*100</f>
        <v>0</v>
      </c>
    </row>
    <row r="10" spans="2:22" x14ac:dyDescent="0.2">
      <c r="B10" s="52" t="s">
        <v>33</v>
      </c>
      <c r="C10" s="227">
        <f>'table 1 &amp; 2'!B11/'table 1 &amp; 2'!$B$11*100</f>
        <v>100</v>
      </c>
      <c r="D10" s="228">
        <f>'table 1 &amp; 2'!C11/'table 1 &amp; 2'!$B$11*100</f>
        <v>53.502492213121855</v>
      </c>
      <c r="E10" s="227">
        <f>'table 1 &amp; 2'!D11/'table 1 &amp; 2'!$B$11*100</f>
        <v>42.480372181035357</v>
      </c>
      <c r="F10" s="227">
        <f>'table 1 &amp; 2'!E11/'table 1 &amp; 2'!$B$11*100</f>
        <v>95.982864394157218</v>
      </c>
      <c r="G10" s="228">
        <f>'table 1 &amp; 2'!F11/'table 1 &amp; 2'!$B$11*100</f>
        <v>3.199641070946587</v>
      </c>
      <c r="H10" s="227">
        <f>'table 1 &amp; 2'!G11/'table 1 &amp; 2'!$B$11*100</f>
        <v>0.8174945348961965</v>
      </c>
      <c r="I10" s="227">
        <f>'table 1 &amp; 2'!H11/'table 1 &amp; 2'!$B$11*100</f>
        <v>4.0171356058427836</v>
      </c>
    </row>
    <row r="11" spans="2:22" x14ac:dyDescent="0.2">
      <c r="B11" t="s">
        <v>34</v>
      </c>
      <c r="C11" s="221">
        <f>'table 1 &amp; 2'!B12/'table 1 &amp; 2'!$B$12*100</f>
        <v>100</v>
      </c>
      <c r="D11" s="224">
        <f>'table 1 &amp; 2'!C12/'table 1 &amp; 2'!$B$12*100</f>
        <v>42.094893422888894</v>
      </c>
      <c r="E11" s="221">
        <f>'table 1 &amp; 2'!D12/'table 1 &amp; 2'!$B$12*100</f>
        <v>57.905106577111098</v>
      </c>
      <c r="F11" s="221">
        <f>'table 1 &amp; 2'!E12/'table 1 &amp; 2'!$B$12*100</f>
        <v>100</v>
      </c>
      <c r="G11" s="224">
        <f>'table 1 &amp; 2'!F12/'table 1 &amp; 2'!$B$12*100</f>
        <v>0</v>
      </c>
      <c r="H11" s="221">
        <f>'table 1 &amp; 2'!G12/'table 1 &amp; 2'!$B$12*100</f>
        <v>0</v>
      </c>
      <c r="I11" s="221">
        <f>'table 1 &amp; 2'!H12/'table 1 &amp; 2'!$B$12*100</f>
        <v>0</v>
      </c>
    </row>
    <row r="12" spans="2:22" x14ac:dyDescent="0.2">
      <c r="B12" s="52" t="s">
        <v>35</v>
      </c>
      <c r="C12" s="227">
        <f>'table 1 &amp; 2'!B13/'table 1 &amp; 2'!$B$13*100</f>
        <v>100</v>
      </c>
      <c r="D12" s="228">
        <f>'table 1 &amp; 2'!C13/'table 1 &amp; 2'!$B$13*100</f>
        <v>63.473540354434277</v>
      </c>
      <c r="E12" s="227">
        <f>'table 1 &amp; 2'!D13/'table 1 &amp; 2'!$B$13*100</f>
        <v>31.291207495157831</v>
      </c>
      <c r="F12" s="227">
        <f>'table 1 &amp; 2'!E13/'table 1 &amp; 2'!$B$13*100</f>
        <v>94.764747849592112</v>
      </c>
      <c r="G12" s="228">
        <f>'table 1 &amp; 2'!F13/'table 1 &amp; 2'!$B$13*100</f>
        <v>4.2952374583742046</v>
      </c>
      <c r="H12" s="227">
        <f>'table 1 &amp; 2'!G13/'table 1 &amp; 2'!$B$13*100</f>
        <v>0.94001469203368759</v>
      </c>
      <c r="I12" s="227">
        <f>'table 1 &amp; 2'!H13/'table 1 &amp; 2'!$B$13*100</f>
        <v>5.2352521504078915</v>
      </c>
    </row>
    <row r="13" spans="2:22" x14ac:dyDescent="0.2">
      <c r="B13" t="s">
        <v>36</v>
      </c>
      <c r="C13" s="221">
        <f>'table 1 &amp; 2'!B14/'table 1 &amp; 2'!$B$14*100</f>
        <v>100</v>
      </c>
      <c r="D13" s="224">
        <f>'table 1 &amp; 2'!C14/'table 1 &amp; 2'!$B$14*100</f>
        <v>62.099433305297268</v>
      </c>
      <c r="E13" s="221">
        <f>'table 1 &amp; 2'!D14/'table 1 &amp; 2'!$B$14*100</f>
        <v>37.900566694702739</v>
      </c>
      <c r="F13" s="221">
        <f>'table 1 &amp; 2'!E14/'table 1 &amp; 2'!$B$14*100</f>
        <v>100</v>
      </c>
      <c r="G13" s="224">
        <f>'table 1 &amp; 2'!F14/'table 1 &amp; 2'!$B$14*100</f>
        <v>0</v>
      </c>
      <c r="H13" s="221">
        <f>'table 1 &amp; 2'!G14/'table 1 &amp; 2'!$B$14*100</f>
        <v>0</v>
      </c>
      <c r="I13" s="221">
        <f>'table 1 &amp; 2'!H14/'table 1 &amp; 2'!$B$14*100</f>
        <v>0</v>
      </c>
    </row>
    <row r="14" spans="2:22" x14ac:dyDescent="0.2">
      <c r="B14" s="52" t="s">
        <v>67</v>
      </c>
      <c r="C14" s="227">
        <f>'table 1 &amp; 2'!B15/'table 1 &amp; 2'!$B$15*100</f>
        <v>100</v>
      </c>
      <c r="D14" s="228">
        <f>'table 1 &amp; 2'!C15/'table 1 &amp; 2'!$B$15*100</f>
        <v>19.460629146796723</v>
      </c>
      <c r="E14" s="227">
        <f>'table 1 &amp; 2'!D15/'table 1 &amp; 2'!$B$15*100</f>
        <v>80.53937085320328</v>
      </c>
      <c r="F14" s="227">
        <f>'table 1 &amp; 2'!E15/'table 1 &amp; 2'!$B$15*100</f>
        <v>100</v>
      </c>
      <c r="G14" s="228">
        <f>'table 1 &amp; 2'!F15/'table 1 &amp; 2'!$B$15*100</f>
        <v>0</v>
      </c>
      <c r="H14" s="227">
        <f>'table 1 &amp; 2'!G15/'table 1 &amp; 2'!$B$15*100</f>
        <v>0</v>
      </c>
      <c r="I14" s="227">
        <f>'table 1 &amp; 2'!H15/'table 1 &amp; 2'!$B$15*100</f>
        <v>0</v>
      </c>
    </row>
    <row r="15" spans="2:22" x14ac:dyDescent="0.2">
      <c r="B15" t="s">
        <v>37</v>
      </c>
      <c r="C15" s="221">
        <f>'table 1 &amp; 2'!B16/'table 1 &amp; 2'!$B$16*100</f>
        <v>100</v>
      </c>
      <c r="D15" s="224">
        <f>'table 1 &amp; 2'!C16/'table 1 &amp; 2'!$B$16*100</f>
        <v>72.686993305660735</v>
      </c>
      <c r="E15" s="221">
        <f>'table 1 &amp; 2'!D16/'table 1 &amp; 2'!$B$16*100</f>
        <v>27.313006694339265</v>
      </c>
      <c r="F15" s="221">
        <f>'table 1 &amp; 2'!E16/'table 1 &amp; 2'!$B$16*100</f>
        <v>100</v>
      </c>
      <c r="G15" s="224">
        <f>'table 1 &amp; 2'!F16/'table 1 &amp; 2'!$B$16*100</f>
        <v>0</v>
      </c>
      <c r="H15" s="221">
        <f>'table 1 &amp; 2'!G16/'table 1 &amp; 2'!$B$16*100</f>
        <v>0</v>
      </c>
      <c r="I15" s="221">
        <f>'table 1 &amp; 2'!H16/'table 1 &amp; 2'!$B$16*100</f>
        <v>0</v>
      </c>
    </row>
    <row r="16" spans="2:22" x14ac:dyDescent="0.2">
      <c r="B16" s="52" t="s">
        <v>38</v>
      </c>
      <c r="C16" s="227">
        <f>'table 1 &amp; 2'!B17/'table 1 &amp; 2'!$B$17*100</f>
        <v>100</v>
      </c>
      <c r="D16" s="228">
        <f>'table 1 &amp; 2'!C17/'table 1 &amp; 2'!$B$17*100</f>
        <v>6.9859219276687661</v>
      </c>
      <c r="E16" s="227">
        <f>'table 1 &amp; 2'!D17/'table 1 &amp; 2'!$B$17*100</f>
        <v>24.05887022148702</v>
      </c>
      <c r="F16" s="227">
        <f>'table 1 &amp; 2'!E17/'table 1 &amp; 2'!$B$17*100</f>
        <v>31.044792149155786</v>
      </c>
      <c r="G16" s="266">
        <f>'table 1 &amp; 2'!F17/'table 1 &amp; 2'!$B$17*100</f>
        <v>55.490212791861573</v>
      </c>
      <c r="H16" s="227">
        <f>'table 1 &amp; 2'!G17/'table 1 &amp; 2'!$B$17*100</f>
        <v>13.464995058982646</v>
      </c>
      <c r="I16" s="227">
        <f>'table 1 &amp; 2'!H17/'table 1 &amp; 2'!$B$17*100</f>
        <v>68.955207850844218</v>
      </c>
    </row>
    <row r="17" spans="2:9" x14ac:dyDescent="0.2">
      <c r="B17" t="s">
        <v>39</v>
      </c>
      <c r="C17" s="221">
        <f>'table 1 &amp; 2'!B18/'table 1 &amp; 2'!$B$18*100</f>
        <v>100</v>
      </c>
      <c r="D17" s="224">
        <f>'table 1 &amp; 2'!C18/'table 1 &amp; 2'!$B$18*100</f>
        <v>57.757114881881947</v>
      </c>
      <c r="E17" s="221">
        <f>'table 1 &amp; 2'!D18/'table 1 &amp; 2'!$B$18*100</f>
        <v>26.119990389544363</v>
      </c>
      <c r="F17" s="221">
        <f>'table 1 &amp; 2'!E18/'table 1 &amp; 2'!$B$18*100</f>
        <v>83.877105271426302</v>
      </c>
      <c r="G17" s="224">
        <f>'table 1 &amp; 2'!F18/'table 1 &amp; 2'!$B$18*100</f>
        <v>16.122894728573701</v>
      </c>
      <c r="H17" s="221">
        <f>'table 1 &amp; 2'!G18/'table 1 &amp; 2'!$B$18*100</f>
        <v>0</v>
      </c>
      <c r="I17" s="221">
        <f>'table 1 &amp; 2'!H18/'table 1 &amp; 2'!$B$18*100</f>
        <v>16.122894728573701</v>
      </c>
    </row>
    <row r="18" spans="2:9" x14ac:dyDescent="0.2">
      <c r="B18" s="52" t="s">
        <v>40</v>
      </c>
      <c r="C18" s="227">
        <f>'table 1 &amp; 2'!B19/'table 1 &amp; 2'!$B$19*100</f>
        <v>100</v>
      </c>
      <c r="D18" s="228">
        <f>'table 1 &amp; 2'!C19/'table 1 &amp; 2'!$B$19*100</f>
        <v>21.241608845294195</v>
      </c>
      <c r="E18" s="227">
        <f>'table 1 &amp; 2'!D19/'table 1 &amp; 2'!$B$19*100</f>
        <v>78.758391154705805</v>
      </c>
      <c r="F18" s="227">
        <f>'table 1 &amp; 2'!E19/'table 1 &amp; 2'!$B$19*100</f>
        <v>100</v>
      </c>
      <c r="G18" s="228">
        <f>'table 1 &amp; 2'!F19/'table 1 &amp; 2'!$B$19*100</f>
        <v>0</v>
      </c>
      <c r="H18" s="227">
        <f>'table 1 &amp; 2'!G19/'table 1 &amp; 2'!$B$19*100</f>
        <v>0</v>
      </c>
      <c r="I18" s="227">
        <f>'table 1 &amp; 2'!H19/'table 1 &amp; 2'!$B$19*100</f>
        <v>0</v>
      </c>
    </row>
    <row r="19" spans="2:9" x14ac:dyDescent="0.2">
      <c r="B19" t="s">
        <v>41</v>
      </c>
      <c r="C19" s="221">
        <f>'table 1 &amp; 2'!B20/'table 1 &amp; 2'!$B$20*100</f>
        <v>100</v>
      </c>
      <c r="D19" s="224">
        <f>'table 1 &amp; 2'!C20/'table 1 &amp; 2'!$B$20*100</f>
        <v>7.6945736363980775</v>
      </c>
      <c r="E19" s="221">
        <f>'table 1 &amp; 2'!D20/'table 1 &amp; 2'!$B$20*100</f>
        <v>70.06839713973315</v>
      </c>
      <c r="F19" s="221">
        <f>'table 1 &amp; 2'!E20/'table 1 &amp; 2'!$B$20*100</f>
        <v>77.76297077613124</v>
      </c>
      <c r="G19" s="224">
        <f>'table 1 &amp; 2'!F20/'table 1 &amp; 2'!$B$20*100</f>
        <v>18.126978116748273</v>
      </c>
      <c r="H19" s="221">
        <f>'table 1 &amp; 2'!G20/'table 1 &amp; 2'!$B$20*100</f>
        <v>4.1100511071204924</v>
      </c>
      <c r="I19" s="221">
        <f>'table 1 &amp; 2'!H20/'table 1 &amp; 2'!$B$20*100</f>
        <v>22.237029223868767</v>
      </c>
    </row>
    <row r="20" spans="2:9" x14ac:dyDescent="0.2">
      <c r="B20" s="52" t="s">
        <v>42</v>
      </c>
      <c r="C20" s="227">
        <f>'table 1 &amp; 2'!B21/'table 1 &amp; 2'!$B$21*100</f>
        <v>100</v>
      </c>
      <c r="D20" s="228">
        <f>'table 1 &amp; 2'!C21/'table 1 &amp; 2'!$B$21*100</f>
        <v>14.892001284642204</v>
      </c>
      <c r="E20" s="227">
        <f>'table 1 &amp; 2'!D21/'table 1 &amp; 2'!$B$21*100</f>
        <v>85.107998715357809</v>
      </c>
      <c r="F20" s="227">
        <f>'table 1 &amp; 2'!E21/'table 1 &amp; 2'!$B$21*100</f>
        <v>100</v>
      </c>
      <c r="G20" s="228">
        <f>'table 1 &amp; 2'!F21/'table 1 &amp; 2'!$B$21*100</f>
        <v>0</v>
      </c>
      <c r="H20" s="227">
        <f>'table 1 &amp; 2'!G21/'table 1 &amp; 2'!$B$21*100</f>
        <v>0</v>
      </c>
      <c r="I20" s="227">
        <f>'table 1 &amp; 2'!H21/'table 1 &amp; 2'!$B$21*100</f>
        <v>0</v>
      </c>
    </row>
    <row r="21" spans="2:9" x14ac:dyDescent="0.2">
      <c r="B21" t="s">
        <v>43</v>
      </c>
      <c r="C21" s="221">
        <f>'table 1 &amp; 2'!B22/'table 1 &amp; 2'!$B$22*100</f>
        <v>100</v>
      </c>
      <c r="D21" s="224">
        <f>'table 1 &amp; 2'!C22/'table 1 &amp; 2'!$B$22*100</f>
        <v>5.068822448947957</v>
      </c>
      <c r="E21" s="221">
        <f>'table 1 &amp; 2'!D22/'table 1 &amp; 2'!$B$22*100</f>
        <v>14.299042515897062</v>
      </c>
      <c r="F21" s="221">
        <f>'table 1 &amp; 2'!E22/'table 1 &amp; 2'!$B$22*100</f>
        <v>19.367864964845019</v>
      </c>
      <c r="G21" s="267">
        <f>'table 1 &amp; 2'!F22/'table 1 &amp; 2'!$B$22*100</f>
        <v>64.616909662123206</v>
      </c>
      <c r="H21" s="221">
        <f>'table 1 &amp; 2'!G22/'table 1 &amp; 2'!$B$22*100</f>
        <v>16.015225373031775</v>
      </c>
      <c r="I21" s="221">
        <f>'table 1 &amp; 2'!H22/'table 1 &amp; 2'!$B$22*100</f>
        <v>80.632135035154988</v>
      </c>
    </row>
    <row r="22" spans="2:9" x14ac:dyDescent="0.2">
      <c r="B22" s="52" t="s">
        <v>44</v>
      </c>
      <c r="C22" s="227">
        <f>'table 1 &amp; 2'!B23/'table 1 &amp; 2'!$B$23*100</f>
        <v>100</v>
      </c>
      <c r="D22" s="228">
        <f>'table 1 &amp; 2'!C23/'table 1 &amp; 2'!$B$23*100</f>
        <v>68.086894832643154</v>
      </c>
      <c r="E22" s="227">
        <f>'table 1 &amp; 2'!D23/'table 1 &amp; 2'!$B$23*100</f>
        <v>31.913105167356846</v>
      </c>
      <c r="F22" s="227">
        <f>'table 1 &amp; 2'!E23/'table 1 &amp; 2'!$B$23*100</f>
        <v>100</v>
      </c>
      <c r="G22" s="266">
        <f>'table 1 &amp; 2'!F23/'table 1 &amp; 2'!$B$23*100</f>
        <v>0</v>
      </c>
      <c r="H22" s="227">
        <f>'table 1 &amp; 2'!G23/'table 1 &amp; 2'!$B$23*100</f>
        <v>0</v>
      </c>
      <c r="I22" s="227">
        <f>'table 1 &amp; 2'!H23/'table 1 &amp; 2'!$B$23*100</f>
        <v>0</v>
      </c>
    </row>
    <row r="23" spans="2:9" x14ac:dyDescent="0.2">
      <c r="B23" t="s">
        <v>45</v>
      </c>
      <c r="C23" s="221">
        <f>'table 1 &amp; 2'!B24/'table 1 &amp; 2'!$B$24*100</f>
        <v>100</v>
      </c>
      <c r="D23" s="224">
        <f>'table 1 &amp; 2'!C24/'table 1 &amp; 2'!$B$24*100</f>
        <v>87.723262442202781</v>
      </c>
      <c r="E23" s="221">
        <f>'table 1 &amp; 2'!D24/'table 1 &amp; 2'!$B$24*100</f>
        <v>12.276737557797212</v>
      </c>
      <c r="F23" s="221">
        <f>'table 1 &amp; 2'!E24/'table 1 &amp; 2'!$B$24*100</f>
        <v>100</v>
      </c>
      <c r="G23" s="267">
        <f>'table 1 &amp; 2'!F24/'table 1 &amp; 2'!$B$24*100</f>
        <v>0</v>
      </c>
      <c r="H23" s="221">
        <f>'table 1 &amp; 2'!G24/'table 1 &amp; 2'!$B$24*100</f>
        <v>0</v>
      </c>
      <c r="I23" s="221">
        <f>'table 1 &amp; 2'!H24/'table 1 &amp; 2'!$B$24*100</f>
        <v>0</v>
      </c>
    </row>
    <row r="24" spans="2:9" x14ac:dyDescent="0.2">
      <c r="B24" s="52" t="s">
        <v>46</v>
      </c>
      <c r="C24" s="227">
        <f>'table 1 &amp; 2'!B25/'table 1 &amp; 2'!$B$25*100</f>
        <v>100</v>
      </c>
      <c r="D24" s="228">
        <f>'table 1 &amp; 2'!C25/'table 1 &amp; 2'!$B$25*100</f>
        <v>43.705584773422338</v>
      </c>
      <c r="E24" s="227">
        <f>'table 1 &amp; 2'!D25/'table 1 &amp; 2'!$B$25*100</f>
        <v>56.294415226577662</v>
      </c>
      <c r="F24" s="227">
        <f>'table 1 &amp; 2'!E25/'table 1 &amp; 2'!$B$25*100</f>
        <v>100</v>
      </c>
      <c r="G24" s="266">
        <f>'table 1 &amp; 2'!F25/'table 1 &amp; 2'!$B$25*100</f>
        <v>0</v>
      </c>
      <c r="H24" s="227">
        <f>'table 1 &amp; 2'!G25/'table 1 &amp; 2'!$B$25*100</f>
        <v>0</v>
      </c>
      <c r="I24" s="227">
        <f>'table 1 &amp; 2'!H25/'table 1 &amp; 2'!$B$25*100</f>
        <v>0</v>
      </c>
    </row>
    <row r="25" spans="2:9" x14ac:dyDescent="0.2">
      <c r="B25" t="s">
        <v>47</v>
      </c>
      <c r="C25" s="221">
        <f>'table 1 &amp; 2'!B26/'table 1 &amp; 2'!$B$26*100</f>
        <v>100</v>
      </c>
      <c r="D25" s="224">
        <f>'table 1 &amp; 2'!C26/'table 1 &amp; 2'!$B$26*100</f>
        <v>38.115179135123739</v>
      </c>
      <c r="E25" s="221">
        <f>'table 1 &amp; 2'!D26/'table 1 &amp; 2'!$B$26*100</f>
        <v>61.852828330460518</v>
      </c>
      <c r="F25" s="221">
        <f>'table 1 &amp; 2'!E26/'table 1 &amp; 2'!$B$26*100</f>
        <v>99.968007465584265</v>
      </c>
      <c r="G25" s="267">
        <f>'table 1 &amp; 2'!F26/'table 1 &amp; 2'!$B$26*100</f>
        <v>2.6165751875724008E-2</v>
      </c>
      <c r="H25" s="221">
        <f>'table 1 &amp; 2'!G26/'table 1 &amp; 2'!$B$26*100</f>
        <v>5.8267825400175263E-3</v>
      </c>
      <c r="I25" s="221">
        <f>'table 1 &amp; 2'!H26/'table 1 &amp; 2'!$B$26*100</f>
        <v>3.1992534415741528E-2</v>
      </c>
    </row>
    <row r="26" spans="2:9" x14ac:dyDescent="0.2">
      <c r="B26" s="52" t="s">
        <v>48</v>
      </c>
      <c r="C26" s="227">
        <f>'table 1 &amp; 2'!B27/'table 1 &amp; 2'!$B$27*100</f>
        <v>100</v>
      </c>
      <c r="D26" s="228">
        <f>'table 1 &amp; 2'!C27/'table 1 &amp; 2'!$B$27*100</f>
        <v>54.316107768161046</v>
      </c>
      <c r="E26" s="227">
        <f>'table 1 &amp; 2'!D27/'table 1 &amp; 2'!$B$27*100</f>
        <v>45.683892231838946</v>
      </c>
      <c r="F26" s="227">
        <f>'table 1 &amp; 2'!E27/'table 1 &amp; 2'!$B$27*100</f>
        <v>100</v>
      </c>
      <c r="G26" s="266">
        <f>'table 1 &amp; 2'!F27/'table 1 &amp; 2'!$B$27*100</f>
        <v>0</v>
      </c>
      <c r="H26" s="227">
        <f>'table 1 &amp; 2'!G27/'table 1 &amp; 2'!$B$27*100</f>
        <v>0</v>
      </c>
      <c r="I26" s="227">
        <f>'table 1 &amp; 2'!H27/'table 1 &amp; 2'!$B$27*100</f>
        <v>0</v>
      </c>
    </row>
    <row r="27" spans="2:9" x14ac:dyDescent="0.2">
      <c r="B27" t="s">
        <v>49</v>
      </c>
      <c r="C27" s="221">
        <f>'table 1 &amp; 2'!B28/'table 1 &amp; 2'!$B$28*100</f>
        <v>100</v>
      </c>
      <c r="D27" s="224">
        <f>'table 1 &amp; 2'!C28/'table 1 &amp; 2'!$B$28*100</f>
        <v>67.959774742093018</v>
      </c>
      <c r="E27" s="221">
        <f>'table 1 &amp; 2'!D28/'table 1 &amp; 2'!$B$28*100</f>
        <v>32.040225257906982</v>
      </c>
      <c r="F27" s="221">
        <f>'table 1 &amp; 2'!E28/'table 1 &amp; 2'!$B$28*100</f>
        <v>100</v>
      </c>
      <c r="G27" s="267">
        <f>'table 1 &amp; 2'!F28/'table 1 &amp; 2'!$B$28*100</f>
        <v>0</v>
      </c>
      <c r="H27" s="221">
        <f>'table 1 &amp; 2'!G28/'table 1 &amp; 2'!$B$28*100</f>
        <v>0</v>
      </c>
      <c r="I27" s="221">
        <f>'table 1 &amp; 2'!H28/'table 1 &amp; 2'!$B$28*100</f>
        <v>0</v>
      </c>
    </row>
    <row r="28" spans="2:9" x14ac:dyDescent="0.2">
      <c r="B28" s="52" t="s">
        <v>50</v>
      </c>
      <c r="C28" s="227">
        <f>'table 1 &amp; 2'!B29/'table 1 &amp; 2'!$B$29*100</f>
        <v>100</v>
      </c>
      <c r="D28" s="228">
        <f>'table 1 &amp; 2'!C29/'table 1 &amp; 2'!$B$29*100</f>
        <v>37.080620517792042</v>
      </c>
      <c r="E28" s="227">
        <f>'table 1 &amp; 2'!D29/'table 1 &amp; 2'!$B$29*100</f>
        <v>62.498529347641785</v>
      </c>
      <c r="F28" s="227">
        <f>'table 1 &amp; 2'!E29/'table 1 &amp; 2'!$B$29*100</f>
        <v>99.57914986543382</v>
      </c>
      <c r="G28" s="266">
        <f>'table 1 &amp; 2'!F29/'table 1 &amp; 2'!$B$29*100</f>
        <v>0.34100037383314735</v>
      </c>
      <c r="H28" s="227">
        <f>'table 1 &amp; 2'!G29/'table 1 &amp; 2'!$B$29*100</f>
        <v>7.9849760733026118E-2</v>
      </c>
      <c r="I28" s="227">
        <f>'table 1 &amp; 2'!H29/'table 1 &amp; 2'!$B$29*100</f>
        <v>0.42085013456617354</v>
      </c>
    </row>
    <row r="29" spans="2:9" x14ac:dyDescent="0.2">
      <c r="B29" t="s">
        <v>51</v>
      </c>
      <c r="C29" s="221">
        <f>'table 1 &amp; 2'!B30/'table 1 &amp; 2'!$B$30*100</f>
        <v>100</v>
      </c>
      <c r="D29" s="224">
        <f>'table 1 &amp; 2'!C30/'table 1 &amp; 2'!$B$30*100</f>
        <v>41.003439207166942</v>
      </c>
      <c r="E29" s="221">
        <f>'table 1 &amp; 2'!D30/'table 1 &amp; 2'!$B$30*100</f>
        <v>25.359203385100383</v>
      </c>
      <c r="F29" s="221">
        <f>'table 1 &amp; 2'!E30/'table 1 &amp; 2'!$B$30*100</f>
        <v>66.362642592267335</v>
      </c>
      <c r="G29" s="267">
        <f>'table 1 &amp; 2'!F30/'table 1 &amp; 2'!$B$30*100</f>
        <v>26.748114230245424</v>
      </c>
      <c r="H29" s="221">
        <f>'table 1 &amp; 2'!G30/'table 1 &amp; 2'!$B$30*100</f>
        <v>6.8892431774872476</v>
      </c>
      <c r="I29" s="221">
        <f>'table 1 &amp; 2'!H30/'table 1 &amp; 2'!$B$30*100</f>
        <v>33.637357407732679</v>
      </c>
    </row>
    <row r="30" spans="2:9" x14ac:dyDescent="0.2">
      <c r="B30" s="52" t="s">
        <v>52</v>
      </c>
      <c r="C30" s="227">
        <f>'table 1 &amp; 2'!B31/'table 1 &amp; 2'!$B$31*100</f>
        <v>100</v>
      </c>
      <c r="D30" s="228">
        <f>'table 1 &amp; 2'!C31/'table 1 &amp; 2'!$B$31*100</f>
        <v>30.809347683017286</v>
      </c>
      <c r="E30" s="227">
        <f>'table 1 &amp; 2'!D31/'table 1 &amp; 2'!$B$31*100</f>
        <v>66.475606516034489</v>
      </c>
      <c r="F30" s="227">
        <f>'table 1 &amp; 2'!E31/'table 1 &amp; 2'!$B$31*100</f>
        <v>97.284954199051782</v>
      </c>
      <c r="G30" s="266">
        <f>'table 1 &amp; 2'!F31/'table 1 &amp; 2'!$B$31*100</f>
        <v>2.1988086929782198</v>
      </c>
      <c r="H30" s="227">
        <f>'table 1 &amp; 2'!G31/'table 1 &amp; 2'!$B$31*100</f>
        <v>0.51623710797000699</v>
      </c>
      <c r="I30" s="227">
        <f>'table 1 &amp; 2'!H31/'table 1 &amp; 2'!$B$31*100</f>
        <v>2.7150458009482263</v>
      </c>
    </row>
    <row r="31" spans="2:9" x14ac:dyDescent="0.2">
      <c r="B31" t="s">
        <v>53</v>
      </c>
      <c r="C31" s="221">
        <f>'table 1 &amp; 2'!B32/'table 1 &amp; 2'!$B$32*100</f>
        <v>100</v>
      </c>
      <c r="D31" s="224">
        <f>'table 1 &amp; 2'!C32/'table 1 &amp; 2'!$B$32*100</f>
        <v>41.571949591338353</v>
      </c>
      <c r="E31" s="221">
        <f>'table 1 &amp; 2'!D32/'table 1 &amp; 2'!$B$32*100</f>
        <v>41.569237059557054</v>
      </c>
      <c r="F31" s="221">
        <f>'table 1 &amp; 2'!E32/'table 1 &amp; 2'!$B$32*100</f>
        <v>83.141186650895406</v>
      </c>
      <c r="G31" s="267">
        <f>'table 1 &amp; 2'!F32/'table 1 &amp; 2'!$B$32*100</f>
        <v>13.542197779825335</v>
      </c>
      <c r="H31" s="221">
        <f>'table 1 &amp; 2'!G32/'table 1 &amp; 2'!$B$32*100</f>
        <v>3.3166155692792589</v>
      </c>
      <c r="I31" s="221">
        <f>'table 1 &amp; 2'!H32/'table 1 &amp; 2'!$B$32*100</f>
        <v>16.858813349104594</v>
      </c>
    </row>
    <row r="32" spans="2:9" x14ac:dyDescent="0.2">
      <c r="B32" s="52" t="s">
        <v>54</v>
      </c>
      <c r="C32" s="227">
        <f>'table 1 &amp; 2'!B33/'table 1 &amp; 2'!$B$33*100</f>
        <v>100</v>
      </c>
      <c r="D32" s="228">
        <f>'table 1 &amp; 2'!C33/'table 1 &amp; 2'!$B$33*100</f>
        <v>66.878641209276651</v>
      </c>
      <c r="E32" s="227">
        <f>'table 1 &amp; 2'!D33/'table 1 &amp; 2'!$B$33*100</f>
        <v>33.121358790723349</v>
      </c>
      <c r="F32" s="227">
        <f>'table 1 &amp; 2'!E33/'table 1 &amp; 2'!$B$33*100</f>
        <v>100</v>
      </c>
      <c r="G32" s="228">
        <f>'table 1 &amp; 2'!F33/'table 1 &amp; 2'!$B$33*100</f>
        <v>0</v>
      </c>
      <c r="H32" s="227">
        <f>'table 1 &amp; 2'!G33/'table 1 &amp; 2'!$B$33*100</f>
        <v>0</v>
      </c>
      <c r="I32" s="227">
        <f>'table 1 &amp; 2'!H33/'table 1 &amp; 2'!$B$33*100</f>
        <v>0</v>
      </c>
    </row>
    <row r="33" spans="2:9" x14ac:dyDescent="0.2">
      <c r="B33" t="s">
        <v>55</v>
      </c>
      <c r="C33" s="221">
        <f>'table 1 &amp; 2'!B34/'table 1 &amp; 2'!$B$34*100</f>
        <v>100</v>
      </c>
      <c r="D33" s="224">
        <f>'table 1 &amp; 2'!C34/'table 1 &amp; 2'!$B$34*100</f>
        <v>77.665527447750193</v>
      </c>
      <c r="E33" s="221">
        <f>'table 1 &amp; 2'!D34/'table 1 &amp; 2'!$B$34*100</f>
        <v>19.736672270298833</v>
      </c>
      <c r="F33" s="221">
        <f>'table 1 &amp; 2'!E34/'table 1 &amp; 2'!$B$34*100</f>
        <v>97.402199718049033</v>
      </c>
      <c r="G33" s="224">
        <f>'table 1 &amp; 2'!F34/'table 1 &amp; 2'!$B$34*100</f>
        <v>2.0710929756123564</v>
      </c>
      <c r="H33" s="221">
        <f>'table 1 &amp; 2'!G34/'table 1 &amp; 2'!$B$34*100</f>
        <v>0.52670730633861662</v>
      </c>
      <c r="I33" s="221">
        <f>'table 1 &amp; 2'!H34/'table 1 &amp; 2'!$B$34*100</f>
        <v>2.5978002819509727</v>
      </c>
    </row>
    <row r="34" spans="2:9" x14ac:dyDescent="0.2">
      <c r="B34" s="52" t="s">
        <v>56</v>
      </c>
      <c r="C34" s="227">
        <f>'table 1 &amp; 2'!B35/'table 1 &amp; 2'!$B$35*100</f>
        <v>100</v>
      </c>
      <c r="D34" s="228">
        <f>'table 1 &amp; 2'!C35/'table 1 &amp; 2'!$B$35*100</f>
        <v>81.173938211838589</v>
      </c>
      <c r="E34" s="227">
        <f>'table 1 &amp; 2'!D35/'table 1 &amp; 2'!$B$35*100</f>
        <v>18.826061788161404</v>
      </c>
      <c r="F34" s="227">
        <f>'table 1 &amp; 2'!E35/'table 1 &amp; 2'!$B$35*100</f>
        <v>100</v>
      </c>
      <c r="G34" s="228">
        <f>'table 1 &amp; 2'!F35/'table 1 &amp; 2'!$B$35*100</f>
        <v>0</v>
      </c>
      <c r="H34" s="227">
        <f>'table 1 &amp; 2'!G35/'table 1 &amp; 2'!$B$35*100</f>
        <v>0</v>
      </c>
      <c r="I34" s="227">
        <f>'table 1 &amp; 2'!H35/'table 1 &amp; 2'!$B$35*100</f>
        <v>0</v>
      </c>
    </row>
    <row r="35" spans="2:9" x14ac:dyDescent="0.2">
      <c r="B35" t="s">
        <v>57</v>
      </c>
      <c r="C35" s="221">
        <f>'table 1 &amp; 2'!B36/'table 1 &amp; 2'!$B$36*100</f>
        <v>100</v>
      </c>
      <c r="D35" s="224">
        <f>'table 1 &amp; 2'!C36/'table 1 &amp; 2'!$B$36*100</f>
        <v>57.527662548326617</v>
      </c>
      <c r="E35" s="221">
        <f>'table 1 &amp; 2'!D36/'table 1 &amp; 2'!$B$36*100</f>
        <v>42.472337451673383</v>
      </c>
      <c r="F35" s="221">
        <f>'table 1 &amp; 2'!E36/'table 1 &amp; 2'!$B$36*100</f>
        <v>100</v>
      </c>
      <c r="G35" s="224">
        <f>'table 1 &amp; 2'!F36/'table 1 &amp; 2'!$B$36*100</f>
        <v>0</v>
      </c>
      <c r="H35" s="221">
        <f>'table 1 &amp; 2'!G36/'table 1 &amp; 2'!$B$36*100</f>
        <v>0</v>
      </c>
      <c r="I35" s="221">
        <f>'table 1 &amp; 2'!H36/'table 1 &amp; 2'!$B$36*100</f>
        <v>0</v>
      </c>
    </row>
    <row r="36" spans="2:9" x14ac:dyDescent="0.2">
      <c r="B36" s="52" t="s">
        <v>58</v>
      </c>
      <c r="C36" s="227">
        <f>'table 1 &amp; 2'!B37/'table 1 &amp; 2'!$B$37*100</f>
        <v>100</v>
      </c>
      <c r="D36" s="228">
        <f>'table 1 &amp; 2'!C37/'table 1 &amp; 2'!$B$37*100</f>
        <v>52.292756312888521</v>
      </c>
      <c r="E36" s="227">
        <f>'table 1 &amp; 2'!D37/'table 1 &amp; 2'!$B$37*100</f>
        <v>47.707243687111479</v>
      </c>
      <c r="F36" s="227">
        <f>'table 1 &amp; 2'!E37/'table 1 &amp; 2'!$B$37*100</f>
        <v>100</v>
      </c>
      <c r="G36" s="228">
        <f>'table 1 &amp; 2'!F37/'table 1 &amp; 2'!$B$37*100</f>
        <v>0</v>
      </c>
      <c r="H36" s="227">
        <f>'table 1 &amp; 2'!G37/'table 1 &amp; 2'!$B$37*100</f>
        <v>0</v>
      </c>
      <c r="I36" s="227">
        <f>'table 1 &amp; 2'!H37/'table 1 &amp; 2'!$B$37*100</f>
        <v>0</v>
      </c>
    </row>
    <row r="37" spans="2:9" x14ac:dyDescent="0.2">
      <c r="B37" t="s">
        <v>59</v>
      </c>
      <c r="C37" s="221">
        <f>'table 1 &amp; 2'!B38/'table 1 &amp; 2'!$B$38*100</f>
        <v>100</v>
      </c>
      <c r="D37" s="224">
        <f>'table 1 &amp; 2'!C38/'table 1 &amp; 2'!$B$38*100</f>
        <v>64.706804496721844</v>
      </c>
      <c r="E37" s="221">
        <f>'table 1 &amp; 2'!D38/'table 1 &amp; 2'!$B$38*100</f>
        <v>35.293195503278156</v>
      </c>
      <c r="F37" s="221">
        <f>'table 1 &amp; 2'!E38/'table 1 &amp; 2'!$B$38*100</f>
        <v>100</v>
      </c>
      <c r="G37" s="224">
        <f>'table 1 &amp; 2'!F38/'table 1 &amp; 2'!$B$38*100</f>
        <v>0</v>
      </c>
      <c r="H37" s="221">
        <f>'table 1 &amp; 2'!G38/'table 1 &amp; 2'!$B$38*100</f>
        <v>0</v>
      </c>
      <c r="I37" s="221">
        <f>'table 1 &amp; 2'!H38/'table 1 &amp; 2'!$B$38*100</f>
        <v>0</v>
      </c>
    </row>
    <row r="38" spans="2:9" x14ac:dyDescent="0.2">
      <c r="B38" s="52" t="s">
        <v>60</v>
      </c>
      <c r="C38" s="227">
        <f>'table 1 &amp; 2'!B39/'table 1 &amp; 2'!$B$39*100</f>
        <v>100</v>
      </c>
      <c r="D38" s="228">
        <f>'table 1 &amp; 2'!C39/'table 1 &amp; 2'!$B$39*100</f>
        <v>38.733422587090885</v>
      </c>
      <c r="E38" s="227">
        <f>'table 1 &amp; 2'!D39/'table 1 &amp; 2'!$B$39*100</f>
        <v>61.266577412909115</v>
      </c>
      <c r="F38" s="227">
        <f>'table 1 &amp; 2'!E39/'table 1 &amp; 2'!$B$39*100</f>
        <v>100</v>
      </c>
      <c r="G38" s="228">
        <f>'table 1 &amp; 2'!F39/'table 1 &amp; 2'!$B$39*100</f>
        <v>0</v>
      </c>
      <c r="H38" s="227">
        <f>'table 1 &amp; 2'!G39/'table 1 &amp; 2'!$B$39*100</f>
        <v>0</v>
      </c>
      <c r="I38" s="227">
        <f>'table 1 &amp; 2'!H39/'table 1 &amp; 2'!$B$39*100</f>
        <v>0</v>
      </c>
    </row>
    <row r="39" spans="2:9" x14ac:dyDescent="0.2">
      <c r="B39" t="s">
        <v>61</v>
      </c>
      <c r="C39" s="221">
        <f>'table 1 &amp; 2'!B40/'table 1 &amp; 2'!$B$40*100</f>
        <v>100</v>
      </c>
      <c r="D39" s="224">
        <f>'table 1 &amp; 2'!C40/'table 1 &amp; 2'!$B$40*100</f>
        <v>24.801383752338623</v>
      </c>
      <c r="E39" s="221">
        <f>'table 1 &amp; 2'!D40/'table 1 &amp; 2'!$B$40*100</f>
        <v>70.641104978044183</v>
      </c>
      <c r="F39" s="221">
        <f>'table 1 &amp; 2'!E40/'table 1 &amp; 2'!$B$40*100</f>
        <v>95.442488730382806</v>
      </c>
      <c r="G39" s="224">
        <f>'table 1 &amp; 2'!F40/'table 1 &amp; 2'!$B$40*100</f>
        <v>3.7043865359578216</v>
      </c>
      <c r="H39" s="221">
        <f>'table 1 &amp; 2'!G40/'table 1 &amp; 2'!$B$40*100</f>
        <v>0.85312473365937813</v>
      </c>
      <c r="I39" s="221">
        <f>'table 1 &amp; 2'!H40/'table 1 &amp; 2'!$B$40*100</f>
        <v>4.5575112696171995</v>
      </c>
    </row>
    <row r="40" spans="2:9" x14ac:dyDescent="0.2">
      <c r="B40" s="52" t="s">
        <v>62</v>
      </c>
      <c r="C40" s="227">
        <f>'table 1 &amp; 2'!B41/'table 1 &amp; 2'!$B$41*100</f>
        <v>100</v>
      </c>
      <c r="D40" s="228">
        <f>'table 1 &amp; 2'!C41/'table 1 &amp; 2'!$B$41*100</f>
        <v>69.799179380585215</v>
      </c>
      <c r="E40" s="227">
        <f>'table 1 &amp; 2'!D41/'table 1 &amp; 2'!$B$41*100</f>
        <v>30.200820619414774</v>
      </c>
      <c r="F40" s="422">
        <f>'table 1 &amp; 2'!E41/'table 1 &amp; 2'!$B$41*100</f>
        <v>100</v>
      </c>
      <c r="G40" s="227">
        <f>'table 1 &amp; 2'!F41/'table 1 &amp; 2'!$B$41*100</f>
        <v>0</v>
      </c>
      <c r="H40" s="227">
        <f>'table 1 &amp; 2'!G41/'table 1 &amp; 2'!$B$41*100</f>
        <v>0</v>
      </c>
      <c r="I40" s="227">
        <f>'table 1 &amp; 2'!H41/'table 1 &amp; 2'!$B$41*100</f>
        <v>0</v>
      </c>
    </row>
    <row r="41" spans="2:9" x14ac:dyDescent="0.2">
      <c r="B41" s="117" t="s">
        <v>406</v>
      </c>
      <c r="C41" s="222">
        <f>'table 1 &amp; 2'!B42/'table 1 &amp; 2'!$B$42*100</f>
        <v>100</v>
      </c>
      <c r="D41" s="225">
        <f>'table 1 &amp; 2'!C42/'table 1 &amp; 2'!$B$42*100</f>
        <v>48.820804293482198</v>
      </c>
      <c r="E41" s="222">
        <f>'table 1 &amp; 2'!D42/'table 1 &amp; 2'!$B$42*100</f>
        <v>25.0109690667162</v>
      </c>
      <c r="F41" s="222">
        <f>'table 1 &amp; 2'!E42/'table 1 &amp; 2'!$B$42*100</f>
        <v>73.831773360198397</v>
      </c>
      <c r="G41" s="225">
        <f>'table 1 &amp; 2'!F42/'table 1 &amp; 2'!$B$42*100</f>
        <v>21.034849280329077</v>
      </c>
      <c r="H41" s="222">
        <f>'table 1 &amp; 2'!G42/'table 1 &amp; 2'!$B$42*100</f>
        <v>5.1333773594725285</v>
      </c>
      <c r="I41" s="222">
        <f>'table 1 &amp; 2'!H42/'table 1 &amp; 2'!$B$42*100</f>
        <v>26.168226639801606</v>
      </c>
    </row>
    <row r="42" spans="2:9" x14ac:dyDescent="0.2">
      <c r="B42" t="s">
        <v>407</v>
      </c>
    </row>
    <row r="44" spans="2:9" x14ac:dyDescent="0.2">
      <c r="B44" s="7" t="s">
        <v>506</v>
      </c>
      <c r="D44" s="226"/>
      <c r="H44" s="7" t="str">
        <f>F2</f>
        <v>2022 Tax Year</v>
      </c>
    </row>
    <row r="45" spans="2:9" x14ac:dyDescent="0.2">
      <c r="B45" s="7" t="s">
        <v>405</v>
      </c>
    </row>
    <row r="46" spans="2:9" x14ac:dyDescent="0.2">
      <c r="D46" s="122"/>
      <c r="E46" s="46" t="s">
        <v>5</v>
      </c>
      <c r="G46" s="122" t="s">
        <v>338</v>
      </c>
    </row>
    <row r="47" spans="2:9" x14ac:dyDescent="0.2">
      <c r="B47" s="117" t="s">
        <v>27</v>
      </c>
      <c r="C47" s="220" t="s">
        <v>8</v>
      </c>
      <c r="D47" s="223" t="s">
        <v>9</v>
      </c>
      <c r="E47" s="125" t="s">
        <v>66</v>
      </c>
      <c r="F47" s="125" t="s">
        <v>29</v>
      </c>
      <c r="G47" s="223" t="s">
        <v>30</v>
      </c>
      <c r="H47" s="125" t="s">
        <v>10</v>
      </c>
      <c r="I47" s="125" t="s">
        <v>29</v>
      </c>
    </row>
    <row r="48" spans="2:9" x14ac:dyDescent="0.2">
      <c r="B48" s="52" t="s">
        <v>31</v>
      </c>
      <c r="C48" s="227">
        <f>'table 1 &amp; 2'!B51/'table 1 &amp; 2'!$B$51*100</f>
        <v>100</v>
      </c>
      <c r="D48" s="228">
        <f>'table 1 &amp; 2'!C51/'table 1 &amp; 2'!$B$51*100</f>
        <v>76.970100192379093</v>
      </c>
      <c r="E48" s="227">
        <f>'table 1 &amp; 2'!D51/'table 1 &amp; 2'!$B$51*100</f>
        <v>23.029899807620904</v>
      </c>
      <c r="F48" s="227">
        <f>'table 1 &amp; 2'!E51/'table 1 &amp; 2'!$B$51*100</f>
        <v>100</v>
      </c>
      <c r="G48" s="228">
        <f>'table 1 &amp; 2'!F51/'table 1 &amp; 2'!$B$51*100</f>
        <v>0</v>
      </c>
      <c r="H48" s="227">
        <f>'table 1 &amp; 2'!G51/'table 1 &amp; 2'!$B$51*100</f>
        <v>0</v>
      </c>
      <c r="I48" s="227">
        <f>'table 1 &amp; 2'!H51/'table 1 &amp; 2'!$B$51*100</f>
        <v>0</v>
      </c>
    </row>
    <row r="49" spans="2:12" x14ac:dyDescent="0.2">
      <c r="B49" t="s">
        <v>32</v>
      </c>
      <c r="C49" s="221">
        <f>'table 1 &amp; 2'!B52/'table 1 &amp; 2'!$B$52*100</f>
        <v>100</v>
      </c>
      <c r="D49" s="224">
        <f>'table 1 &amp; 2'!C52/'table 1 &amp; 2'!$B$52*100</f>
        <v>58.329167243180144</v>
      </c>
      <c r="E49" s="221">
        <f>'table 1 &amp; 2'!D52/'table 1 &amp; 2'!$B$52*100</f>
        <v>41.670832756819848</v>
      </c>
      <c r="F49" s="221">
        <f>'table 1 &amp; 2'!E52/'table 1 &amp; 2'!$B$52*100</f>
        <v>100</v>
      </c>
      <c r="G49" s="224">
        <f>'table 1 &amp; 2'!F52/'table 1 &amp; 2'!$B$52*100</f>
        <v>0</v>
      </c>
      <c r="H49" s="221">
        <f>'table 1 &amp; 2'!G52/'table 1 &amp; 2'!$B$52*100</f>
        <v>0</v>
      </c>
      <c r="I49" s="221">
        <f>'table 1 &amp; 2'!H52/'table 1 &amp; 2'!$B$52*100</f>
        <v>0</v>
      </c>
    </row>
    <row r="50" spans="2:12" x14ac:dyDescent="0.2">
      <c r="B50" s="52" t="s">
        <v>33</v>
      </c>
      <c r="C50" s="227">
        <f>'table 1 &amp; 2'!B53/'table 1 &amp; 2'!$B$53*100</f>
        <v>100</v>
      </c>
      <c r="D50" s="228">
        <f>'table 1 &amp; 2'!C53/'table 1 &amp; 2'!$B$53*100</f>
        <v>53.106656347055804</v>
      </c>
      <c r="E50" s="227">
        <f>'table 1 &amp; 2'!D53/'table 1 &amp; 2'!$B$53*100</f>
        <v>43.715967887487515</v>
      </c>
      <c r="F50" s="227">
        <f>'table 1 &amp; 2'!E53/'table 1 &amp; 2'!$B$53*100</f>
        <v>96.822624234543312</v>
      </c>
      <c r="G50" s="228">
        <f>'table 1 &amp; 2'!F53/'table 1 &amp; 2'!$B$53*100</f>
        <v>2.5306858890866217</v>
      </c>
      <c r="H50" s="227">
        <f>'table 1 &amp; 2'!G53/'table 1 &amp; 2'!$B$53*100</f>
        <v>0.6466898763700647</v>
      </c>
      <c r="I50" s="227">
        <f>'table 1 &amp; 2'!H53/'table 1 &amp; 2'!$B$53*100</f>
        <v>3.1773757654566865</v>
      </c>
    </row>
    <row r="51" spans="2:12" x14ac:dyDescent="0.2">
      <c r="B51" t="s">
        <v>34</v>
      </c>
      <c r="C51" s="221">
        <f>'table 1 &amp; 2'!B54/'table 1 &amp; 2'!$B$54*100</f>
        <v>100</v>
      </c>
      <c r="D51" s="224">
        <f>'table 1 &amp; 2'!C54/'table 1 &amp; 2'!$B$54*100</f>
        <v>40.154169823086441</v>
      </c>
      <c r="E51" s="221">
        <f>'table 1 &amp; 2'!D54/'table 1 &amp; 2'!$B$54*100</f>
        <v>59.845830176913559</v>
      </c>
      <c r="F51" s="221">
        <f>'table 1 &amp; 2'!E54/'table 1 &amp; 2'!$B$54*100</f>
        <v>100</v>
      </c>
      <c r="G51" s="224">
        <f>'table 1 &amp; 2'!F54/'table 1 &amp; 2'!$B$54*100</f>
        <v>0</v>
      </c>
      <c r="H51" s="221">
        <f>'table 1 &amp; 2'!G54/'table 1 &amp; 2'!$B$54*100</f>
        <v>0</v>
      </c>
      <c r="I51" s="221">
        <f>'table 1 &amp; 2'!H54/'table 1 &amp; 2'!$B$54*100</f>
        <v>0</v>
      </c>
    </row>
    <row r="52" spans="2:12" x14ac:dyDescent="0.2">
      <c r="B52" s="52" t="s">
        <v>35</v>
      </c>
      <c r="C52" s="227">
        <f>'table 1 &amp; 2'!B55/'table 1 &amp; 2'!$B$55*100</f>
        <v>100</v>
      </c>
      <c r="D52" s="228">
        <f>'table 1 &amp; 2'!C55/'table 1 &amp; 2'!$B$55*100</f>
        <v>63.585738088891283</v>
      </c>
      <c r="E52" s="227">
        <f>'table 1 &amp; 2'!D55/'table 1 &amp; 2'!$B$55*100</f>
        <v>31.95698464955543</v>
      </c>
      <c r="F52" s="227">
        <f>'table 1 &amp; 2'!E55/'table 1 &amp; 2'!$B$55*100</f>
        <v>95.542722738446713</v>
      </c>
      <c r="G52" s="228">
        <f>'table 1 &amp; 2'!F55/'table 1 &amp; 2'!$B$55*100</f>
        <v>3.6570087686301012</v>
      </c>
      <c r="H52" s="227">
        <f>'table 1 &amp; 2'!G55/'table 1 &amp; 2'!$B$55*100</f>
        <v>0.80026849292316982</v>
      </c>
      <c r="I52" s="227">
        <f>'table 1 &amp; 2'!H55/'table 1 &amp; 2'!$B$55*100</f>
        <v>4.457277261553271</v>
      </c>
    </row>
    <row r="53" spans="2:12" x14ac:dyDescent="0.2">
      <c r="B53" t="s">
        <v>36</v>
      </c>
      <c r="C53" s="221">
        <f>'table 1 &amp; 2'!B56/'table 1 &amp; 2'!$B$56*100</f>
        <v>100</v>
      </c>
      <c r="D53" s="224">
        <f>'table 1 &amp; 2'!C56/'table 1 &amp; 2'!$B$56*100</f>
        <v>63.611778700795959</v>
      </c>
      <c r="E53" s="221">
        <f>'table 1 &amp; 2'!D56/'table 1 &amp; 2'!$B$56*100</f>
        <v>36.388221299204034</v>
      </c>
      <c r="F53" s="221">
        <f>'table 1 &amp; 2'!E56/'table 1 &amp; 2'!$B$56*100</f>
        <v>100</v>
      </c>
      <c r="G53" s="224">
        <f>'table 1 &amp; 2'!F56/'table 1 &amp; 2'!$B$56*100</f>
        <v>0</v>
      </c>
      <c r="H53" s="221">
        <f>'table 1 &amp; 2'!G56/'table 1 &amp; 2'!$B$56*100</f>
        <v>0</v>
      </c>
      <c r="I53" s="221">
        <f>'table 1 &amp; 2'!H56/'table 1 &amp; 2'!$B$56*100</f>
        <v>0</v>
      </c>
    </row>
    <row r="54" spans="2:12" x14ac:dyDescent="0.2">
      <c r="B54" s="52" t="s">
        <v>67</v>
      </c>
      <c r="C54" s="227">
        <f>'table 1 &amp; 2'!B57/'table 1 &amp; 2'!$B$57*100</f>
        <v>100</v>
      </c>
      <c r="D54" s="228">
        <f>'table 1 &amp; 2'!C57/'table 1 &amp; 2'!$B$57*100</f>
        <v>20.266385188177434</v>
      </c>
      <c r="E54" s="227">
        <f>'table 1 &amp; 2'!D57/'table 1 &amp; 2'!$B$57*100</f>
        <v>79.733614811822562</v>
      </c>
      <c r="F54" s="227">
        <f>'table 1 &amp; 2'!E57/'table 1 &amp; 2'!$B$57*100</f>
        <v>100</v>
      </c>
      <c r="G54" s="228">
        <f>'table 1 &amp; 2'!F57/'table 1 &amp; 2'!$B$57*100</f>
        <v>0</v>
      </c>
      <c r="H54" s="227">
        <f>'table 1 &amp; 2'!G57/'table 1 &amp; 2'!$B$57*100</f>
        <v>0</v>
      </c>
      <c r="I54" s="227">
        <f>'table 1 &amp; 2'!H57/'table 1 &amp; 2'!$B$57*100</f>
        <v>0</v>
      </c>
    </row>
    <row r="55" spans="2:12" x14ac:dyDescent="0.2">
      <c r="B55" t="s">
        <v>37</v>
      </c>
      <c r="C55" s="221">
        <f>'table 1 &amp; 2'!B58/'table 1 &amp; 2'!$B$58*100</f>
        <v>100</v>
      </c>
      <c r="D55" s="224">
        <f>'table 1 &amp; 2'!C58/'table 1 &amp; 2'!$B$58*100</f>
        <v>70.231324145519096</v>
      </c>
      <c r="E55" s="221">
        <f>'table 1 &amp; 2'!D58/'table 1 &amp; 2'!$B$58*100</f>
        <v>29.768675854480918</v>
      </c>
      <c r="F55" s="221">
        <f>'table 1 &amp; 2'!E58/'table 1 &amp; 2'!$B$58*100</f>
        <v>100</v>
      </c>
      <c r="G55" s="224">
        <f>'table 1 &amp; 2'!F58/'table 1 &amp; 2'!$B$58*100</f>
        <v>0</v>
      </c>
      <c r="H55" s="221">
        <f>'table 1 &amp; 2'!G58/'table 1 &amp; 2'!$B$58*100</f>
        <v>0</v>
      </c>
      <c r="I55" s="221">
        <f>'table 1 &amp; 2'!H58/'table 1 &amp; 2'!$B$58*100</f>
        <v>0</v>
      </c>
    </row>
    <row r="56" spans="2:12" x14ac:dyDescent="0.2">
      <c r="B56" s="52" t="s">
        <v>38</v>
      </c>
      <c r="C56" s="227">
        <f>'table 1 &amp; 2'!B59/'table 1 &amp; 2'!$B$59*100</f>
        <v>100</v>
      </c>
      <c r="D56" s="228">
        <f>'table 1 &amp; 2'!C59/'table 1 &amp; 2'!$B$59*100</f>
        <v>7.5822647657970892</v>
      </c>
      <c r="E56" s="227">
        <f>'table 1 &amp; 2'!D59/'table 1 &amp; 2'!$B$59*100</f>
        <v>25.292071005692883</v>
      </c>
      <c r="F56" s="227">
        <f>'table 1 &amp; 2'!E59/'table 1 &amp; 2'!$B$59*100</f>
        <v>32.874335771489967</v>
      </c>
      <c r="G56" s="228">
        <f>'table 1 &amp; 2'!F59/'table 1 &amp; 2'!$B$59*100</f>
        <v>54.028389253607159</v>
      </c>
      <c r="H56" s="227">
        <f>'table 1 &amp; 2'!G59/'table 1 &amp; 2'!$B$59*100</f>
        <v>13.097274974902879</v>
      </c>
      <c r="I56" s="227">
        <f>'table 1 &amp; 2'!H59/'table 1 &amp; 2'!$B$59*100</f>
        <v>67.125664228510033</v>
      </c>
      <c r="L56" s="221"/>
    </row>
    <row r="57" spans="2:12" x14ac:dyDescent="0.2">
      <c r="B57" t="s">
        <v>39</v>
      </c>
      <c r="C57" s="221">
        <f>'table 1 &amp; 2'!B60/'table 1 &amp; 2'!$B$60*100</f>
        <v>100</v>
      </c>
      <c r="D57" s="224">
        <f>'table 1 &amp; 2'!C60/'table 1 &amp; 2'!$B$60*100</f>
        <v>50.651580631379325</v>
      </c>
      <c r="E57" s="221">
        <f>'table 1 &amp; 2'!D60/'table 1 &amp; 2'!$B$60*100</f>
        <v>30.450025451304441</v>
      </c>
      <c r="F57" s="221">
        <f>'table 1 &amp; 2'!E60/'table 1 &amp; 2'!$B$60*100</f>
        <v>81.101606082683759</v>
      </c>
      <c r="G57" s="224">
        <f>'table 1 &amp; 2'!F60/'table 1 &amp; 2'!$B$60*100</f>
        <v>18.898393917316238</v>
      </c>
      <c r="H57" s="221">
        <f>'table 1 &amp; 2'!G60/'table 1 &amp; 2'!$B$60*100</f>
        <v>0</v>
      </c>
      <c r="I57" s="221">
        <f>'table 1 &amp; 2'!H60/'table 1 &amp; 2'!$B$60*100</f>
        <v>18.898393917316238</v>
      </c>
    </row>
    <row r="58" spans="2:12" x14ac:dyDescent="0.2">
      <c r="B58" s="52" t="s">
        <v>40</v>
      </c>
      <c r="C58" s="227">
        <f>'table 1 &amp; 2'!B61/'table 1 &amp; 2'!$B$61*100</f>
        <v>100</v>
      </c>
      <c r="D58" s="228">
        <f>'table 1 &amp; 2'!C61/'table 1 &amp; 2'!$B$61*100</f>
        <v>20.427349930886692</v>
      </c>
      <c r="E58" s="227">
        <f>'table 1 &amp; 2'!D61/'table 1 &amp; 2'!$B$61*100</f>
        <v>79.572650069113294</v>
      </c>
      <c r="F58" s="227">
        <f>'table 1 &amp; 2'!E61/'table 1 &amp; 2'!$B$61*100</f>
        <v>100</v>
      </c>
      <c r="G58" s="228">
        <f>'table 1 &amp; 2'!F61/'table 1 &amp; 2'!$B$61*100</f>
        <v>0</v>
      </c>
      <c r="H58" s="227">
        <f>'table 1 &amp; 2'!G61/'table 1 &amp; 2'!$B$61*100</f>
        <v>0</v>
      </c>
      <c r="I58" s="227">
        <f>'table 1 &amp; 2'!H61/'table 1 &amp; 2'!$B$61*100</f>
        <v>0</v>
      </c>
    </row>
    <row r="59" spans="2:12" x14ac:dyDescent="0.2">
      <c r="B59" t="s">
        <v>41</v>
      </c>
      <c r="C59" s="221">
        <f>'table 1 &amp; 2'!B62/'table 1 &amp; 2'!$B$62*100</f>
        <v>100</v>
      </c>
      <c r="D59" s="224">
        <f>'table 1 &amp; 2'!C62/'table 1 &amp; 2'!$B$62*100</f>
        <v>6.3494330470034885</v>
      </c>
      <c r="E59" s="221">
        <f>'table 1 &amp; 2'!D62/'table 1 &amp; 2'!$B$62*100</f>
        <v>70.469137439898759</v>
      </c>
      <c r="F59" s="221">
        <f>'table 1 &amp; 2'!E62/'table 1 &amp; 2'!$B$62*100</f>
        <v>76.818570486902246</v>
      </c>
      <c r="G59" s="224">
        <f>'table 1 &amp; 2'!F62/'table 1 &amp; 2'!$B$62*100</f>
        <v>18.900219934638312</v>
      </c>
      <c r="H59" s="221">
        <f>'table 1 &amp; 2'!G62/'table 1 &amp; 2'!$B$62*100</f>
        <v>4.2812095784594328</v>
      </c>
      <c r="I59" s="221">
        <f>'table 1 &amp; 2'!H62/'table 1 &amp; 2'!$B$62*100</f>
        <v>23.181429513097747</v>
      </c>
    </row>
    <row r="60" spans="2:12" x14ac:dyDescent="0.2">
      <c r="B60" s="52" t="s">
        <v>42</v>
      </c>
      <c r="C60" s="227">
        <f>'table 1 &amp; 2'!B63/'table 1 &amp; 2'!$B$63*100</f>
        <v>100</v>
      </c>
      <c r="D60" s="228">
        <f>'table 1 &amp; 2'!C63/'table 1 &amp; 2'!$B$63*100</f>
        <v>13.68171427136299</v>
      </c>
      <c r="E60" s="227">
        <f>'table 1 &amp; 2'!D63/'table 1 &amp; 2'!$B$63*100</f>
        <v>86.318285728636994</v>
      </c>
      <c r="F60" s="227">
        <f>'table 1 &amp; 2'!E63/'table 1 &amp; 2'!$B$63*100</f>
        <v>100</v>
      </c>
      <c r="G60" s="228">
        <f>'table 1 &amp; 2'!F63/'table 1 &amp; 2'!$B$63*100</f>
        <v>0</v>
      </c>
      <c r="H60" s="227">
        <f>'table 1 &amp; 2'!G63/'table 1 &amp; 2'!$B$63*100</f>
        <v>0</v>
      </c>
      <c r="I60" s="227">
        <f>'table 1 &amp; 2'!H63/'table 1 &amp; 2'!$B$63*100</f>
        <v>0</v>
      </c>
    </row>
    <row r="61" spans="2:12" x14ac:dyDescent="0.2">
      <c r="B61" t="s">
        <v>43</v>
      </c>
      <c r="C61" s="221">
        <f>'table 1 &amp; 2'!B64/'table 1 &amp; 2'!$B$64*100</f>
        <v>100</v>
      </c>
      <c r="D61" s="224">
        <f>'table 1 &amp; 2'!C64/'table 1 &amp; 2'!$B$64*100</f>
        <v>5.5042261309454581</v>
      </c>
      <c r="E61" s="221">
        <f>'table 1 &amp; 2'!D64/'table 1 &amp; 2'!$B$64*100</f>
        <v>15.832403954361526</v>
      </c>
      <c r="F61" s="221">
        <f>'table 1 &amp; 2'!E64/'table 1 &amp; 2'!$B$64*100</f>
        <v>21.336630085306982</v>
      </c>
      <c r="G61" s="224">
        <f>'table 1 &amp; 2'!F64/'table 1 &amp; 2'!$B$64*100</f>
        <v>63.016144868321547</v>
      </c>
      <c r="H61" s="221">
        <f>'table 1 &amp; 2'!G64/'table 1 &amp; 2'!$B$64*100</f>
        <v>15.64722504637148</v>
      </c>
      <c r="I61" s="221">
        <f>'table 1 &amp; 2'!H64/'table 1 &amp; 2'!$B$64*100</f>
        <v>78.663369914693021</v>
      </c>
    </row>
    <row r="62" spans="2:12" x14ac:dyDescent="0.2">
      <c r="B62" s="52" t="s">
        <v>44</v>
      </c>
      <c r="C62" s="227">
        <f>'table 1 &amp; 2'!B65/'table 1 &amp; 2'!$B$65*100</f>
        <v>100</v>
      </c>
      <c r="D62" s="228">
        <f>'table 1 &amp; 2'!C65/'table 1 &amp; 2'!$B$65*100</f>
        <v>68.129679936890156</v>
      </c>
      <c r="E62" s="227">
        <f>'table 1 &amp; 2'!D65/'table 1 &amp; 2'!$B$65*100</f>
        <v>31.870320063109851</v>
      </c>
      <c r="F62" s="227">
        <f>'table 1 &amp; 2'!E65/'table 1 &amp; 2'!$B$65*100</f>
        <v>100</v>
      </c>
      <c r="G62" s="228">
        <f>'table 1 &amp; 2'!F65/'table 1 &amp; 2'!$B$65*100</f>
        <v>0</v>
      </c>
      <c r="H62" s="227">
        <f>'table 1 &amp; 2'!G65/'table 1 &amp; 2'!$B$65*100</f>
        <v>0</v>
      </c>
      <c r="I62" s="227">
        <f>'table 1 &amp; 2'!H65/'table 1 &amp; 2'!$B$65*100</f>
        <v>0</v>
      </c>
    </row>
    <row r="63" spans="2:12" x14ac:dyDescent="0.2">
      <c r="B63" t="s">
        <v>45</v>
      </c>
      <c r="C63" s="221">
        <f>'table 1 &amp; 2'!B66/'table 1 &amp; 2'!$B$66*100</f>
        <v>100</v>
      </c>
      <c r="D63" s="224">
        <f>'table 1 &amp; 2'!C66/'table 1 &amp; 2'!$B$66*100</f>
        <v>85.737667465863296</v>
      </c>
      <c r="E63" s="221">
        <f>'table 1 &amp; 2'!D66/'table 1 &amp; 2'!$B$66*100</f>
        <v>14.262332534136696</v>
      </c>
      <c r="F63" s="221">
        <f>'table 1 &amp; 2'!E66/'table 1 &amp; 2'!$B$66*100</f>
        <v>100</v>
      </c>
      <c r="G63" s="224">
        <f>'table 1 &amp; 2'!F66/'table 1 &amp; 2'!$B$66*100</f>
        <v>0</v>
      </c>
      <c r="H63" s="221">
        <f>'table 1 &amp; 2'!G66/'table 1 &amp; 2'!$B$66*100</f>
        <v>0</v>
      </c>
      <c r="I63" s="221">
        <f>'table 1 &amp; 2'!H66/'table 1 &amp; 2'!$B$66*100</f>
        <v>0</v>
      </c>
    </row>
    <row r="64" spans="2:12" x14ac:dyDescent="0.2">
      <c r="B64" s="52" t="s">
        <v>46</v>
      </c>
      <c r="C64" s="227">
        <f>'table 1 &amp; 2'!B67/'table 1 &amp; 2'!$B$67*100</f>
        <v>100</v>
      </c>
      <c r="D64" s="228">
        <f>'table 1 &amp; 2'!C67/'table 1 &amp; 2'!$B$67*100</f>
        <v>43.301270567093987</v>
      </c>
      <c r="E64" s="227">
        <f>'table 1 &amp; 2'!D67/'table 1 &amp; 2'!$B$67*100</f>
        <v>56.698729432906013</v>
      </c>
      <c r="F64" s="227">
        <f>'table 1 &amp; 2'!E67/'table 1 &amp; 2'!$B$67*100</f>
        <v>100</v>
      </c>
      <c r="G64" s="228">
        <f>'table 1 &amp; 2'!F67/'table 1 &amp; 2'!$B$67*100</f>
        <v>0</v>
      </c>
      <c r="H64" s="227">
        <f>'table 1 &amp; 2'!G67/'table 1 &amp; 2'!$B$67*100</f>
        <v>0</v>
      </c>
      <c r="I64" s="227">
        <f>'table 1 &amp; 2'!H67/'table 1 &amp; 2'!$B$67*100</f>
        <v>0</v>
      </c>
    </row>
    <row r="65" spans="2:9" x14ac:dyDescent="0.2">
      <c r="B65" t="s">
        <v>47</v>
      </c>
      <c r="C65" s="221">
        <f>'table 1 &amp; 2'!B68/'table 1 &amp; 2'!$B$68*100</f>
        <v>100</v>
      </c>
      <c r="D65" s="224">
        <f>'table 1 &amp; 2'!C68/'table 1 &amp; 2'!$B$68*100</f>
        <v>36.814944181886958</v>
      </c>
      <c r="E65" s="221">
        <f>'table 1 &amp; 2'!D68/'table 1 &amp; 2'!$B$68*100</f>
        <v>63.155028674156696</v>
      </c>
      <c r="F65" s="221">
        <f>'table 1 &amp; 2'!E68/'table 1 &amp; 2'!$B$68*100</f>
        <v>99.969972856043668</v>
      </c>
      <c r="G65" s="224">
        <f>'table 1 &amp; 2'!F68/'table 1 &amp; 2'!$B$68*100</f>
        <v>2.4558316890062035E-2</v>
      </c>
      <c r="H65" s="221">
        <f>'table 1 &amp; 2'!G68/'table 1 &amp; 2'!$B$68*100</f>
        <v>5.4688270662687187E-3</v>
      </c>
      <c r="I65" s="221">
        <f>'table 1 &amp; 2'!H68/'table 1 &amp; 2'!$B$68*100</f>
        <v>3.0027143956330753E-2</v>
      </c>
    </row>
    <row r="66" spans="2:9" x14ac:dyDescent="0.2">
      <c r="B66" s="52" t="s">
        <v>48</v>
      </c>
      <c r="C66" s="227">
        <f>'table 1 &amp; 2'!B69/'table 1 &amp; 2'!$B$69*100</f>
        <v>100</v>
      </c>
      <c r="D66" s="228">
        <f>'table 1 &amp; 2'!C69/'table 1 &amp; 2'!$B$69*100</f>
        <v>47.004642478692148</v>
      </c>
      <c r="E66" s="227">
        <f>'table 1 &amp; 2'!D69/'table 1 &amp; 2'!$B$69*100</f>
        <v>52.995357521307859</v>
      </c>
      <c r="F66" s="227">
        <f>'table 1 &amp; 2'!E69/'table 1 &amp; 2'!$B$69*100</f>
        <v>100</v>
      </c>
      <c r="G66" s="228">
        <f>'table 1 &amp; 2'!F69/'table 1 &amp; 2'!$B$69*100</f>
        <v>0</v>
      </c>
      <c r="H66" s="227">
        <f>'table 1 &amp; 2'!G69/'table 1 &amp; 2'!$B$69*100</f>
        <v>0</v>
      </c>
      <c r="I66" s="227">
        <f>'table 1 &amp; 2'!H69/'table 1 &amp; 2'!$B$69*100</f>
        <v>0</v>
      </c>
    </row>
    <row r="67" spans="2:9" x14ac:dyDescent="0.2">
      <c r="B67" t="s">
        <v>49</v>
      </c>
      <c r="C67" s="221">
        <f>'table 1 &amp; 2'!B70/'table 1 &amp; 2'!$B$70*100</f>
        <v>100</v>
      </c>
      <c r="D67" s="224">
        <f>'table 1 &amp; 2'!C70/'table 1 &amp; 2'!$B$70*100</f>
        <v>63.292883073090955</v>
      </c>
      <c r="E67" s="221">
        <f>'table 1 &amp; 2'!D70/'table 1 &amp; 2'!$B$70*100</f>
        <v>36.707116926909038</v>
      </c>
      <c r="F67" s="221">
        <f>'table 1 &amp; 2'!E70/'table 1 &amp; 2'!$B$70*100</f>
        <v>100</v>
      </c>
      <c r="G67" s="224">
        <f>'table 1 &amp; 2'!F70/'table 1 &amp; 2'!$B$70*100</f>
        <v>0</v>
      </c>
      <c r="H67" s="221">
        <f>'table 1 &amp; 2'!G70/'table 1 &amp; 2'!$B$70*100</f>
        <v>0</v>
      </c>
      <c r="I67" s="221">
        <f>'table 1 &amp; 2'!H70/'table 1 &amp; 2'!$B$70*100</f>
        <v>0</v>
      </c>
    </row>
    <row r="68" spans="2:9" x14ac:dyDescent="0.2">
      <c r="B68" s="52" t="s">
        <v>50</v>
      </c>
      <c r="C68" s="227">
        <f>'table 1 &amp; 2'!B71/'table 1 &amp; 2'!$B$71*100</f>
        <v>100</v>
      </c>
      <c r="D68" s="228">
        <f>'table 1 &amp; 2'!C71/'table 1 &amp; 2'!$B$71*100</f>
        <v>37.370443374968708</v>
      </c>
      <c r="E68" s="227">
        <f>'table 1 &amp; 2'!D71/'table 1 &amp; 2'!$B$71*100</f>
        <v>62.302060529318148</v>
      </c>
      <c r="F68" s="227">
        <f>'table 1 &amp; 2'!E71/'table 1 &amp; 2'!$B$71*100</f>
        <v>99.672503904286842</v>
      </c>
      <c r="G68" s="228">
        <f>'table 1 &amp; 2'!F71/'table 1 &amp; 2'!$B$71*100</f>
        <v>0.26535881040456843</v>
      </c>
      <c r="H68" s="227">
        <f>'table 1 &amp; 2'!G71/'table 1 &amp; 2'!$B$71*100</f>
        <v>6.2137285308587364E-2</v>
      </c>
      <c r="I68" s="227">
        <f>'table 1 &amp; 2'!H71/'table 1 &amp; 2'!$B$71*100</f>
        <v>0.32749609571315585</v>
      </c>
    </row>
    <row r="69" spans="2:9" x14ac:dyDescent="0.2">
      <c r="B69" t="s">
        <v>51</v>
      </c>
      <c r="C69" s="221">
        <f>'table 1 &amp; 2'!B72/'table 1 &amp; 2'!$B$72*100</f>
        <v>100</v>
      </c>
      <c r="D69" s="224">
        <f>'table 1 &amp; 2'!C72/'table 1 &amp; 2'!$B$72*100</f>
        <v>39.068123161270329</v>
      </c>
      <c r="E69" s="221">
        <f>'table 1 &amp; 2'!D72/'table 1 &amp; 2'!$B$72*100</f>
        <v>28.77398189921605</v>
      </c>
      <c r="F69" s="221">
        <f>'table 1 &amp; 2'!E72/'table 1 &amp; 2'!$B$72*100</f>
        <v>67.842105060486375</v>
      </c>
      <c r="G69" s="224">
        <f>'table 1 &amp; 2'!F72/'table 1 &amp; 2'!$B$72*100</f>
        <v>25.574679867861406</v>
      </c>
      <c r="H69" s="221">
        <f>'table 1 &amp; 2'!G72/'table 1 &amp; 2'!$B$72*100</f>
        <v>6.5832150716522166</v>
      </c>
      <c r="I69" s="221">
        <f>'table 1 &amp; 2'!H72/'table 1 &amp; 2'!$B$72*100</f>
        <v>32.157894939513618</v>
      </c>
    </row>
    <row r="70" spans="2:9" x14ac:dyDescent="0.2">
      <c r="B70" s="52" t="s">
        <v>52</v>
      </c>
      <c r="C70" s="227">
        <f>'table 1 &amp; 2'!B73/'table 1 &amp; 2'!$B$73*100</f>
        <v>100</v>
      </c>
      <c r="D70" s="228">
        <f>'table 1 &amp; 2'!C73/'table 1 &amp; 2'!$B$73*100</f>
        <v>31.915961688772441</v>
      </c>
      <c r="E70" s="227">
        <f>'table 1 &amp; 2'!D73/'table 1 &amp; 2'!$B$73*100</f>
        <v>65.584810683043727</v>
      </c>
      <c r="F70" s="227">
        <f>'table 1 &amp; 2'!E73/'table 1 &amp; 2'!$B$73*100</f>
        <v>97.500772371816169</v>
      </c>
      <c r="G70" s="228">
        <f>'table 1 &amp; 2'!F73/'table 1 &amp; 2'!$B$73*100</f>
        <v>2.0232718036276212</v>
      </c>
      <c r="H70" s="227">
        <f>'table 1 &amp; 2'!G73/'table 1 &amp; 2'!$B$73*100</f>
        <v>0.47595582455620611</v>
      </c>
      <c r="I70" s="227">
        <f>'table 1 &amp; 2'!H73/'table 1 &amp; 2'!$B$73*100</f>
        <v>2.499227628183827</v>
      </c>
    </row>
    <row r="71" spans="2:9" x14ac:dyDescent="0.2">
      <c r="B71" t="s">
        <v>53</v>
      </c>
      <c r="C71" s="221">
        <f>'table 1 &amp; 2'!B74/'table 1 &amp; 2'!$B$74*100</f>
        <v>100</v>
      </c>
      <c r="D71" s="224">
        <f>'table 1 &amp; 2'!C74/'table 1 &amp; 2'!$B$74*100</f>
        <v>39.752651553283826</v>
      </c>
      <c r="E71" s="221">
        <f>'table 1 &amp; 2'!D74/'table 1 &amp; 2'!$B$74*100</f>
        <v>42.459858558974901</v>
      </c>
      <c r="F71" s="221">
        <f>'table 1 &amp; 2'!E74/'table 1 &amp; 2'!$B$74*100</f>
        <v>82.212510112258741</v>
      </c>
      <c r="G71" s="224">
        <f>'table 1 &amp; 2'!F74/'table 1 &amp; 2'!$B$74*100</f>
        <v>14.289040243533019</v>
      </c>
      <c r="H71" s="221">
        <f>'table 1 &amp; 2'!G74/'table 1 &amp; 2'!$B$74*100</f>
        <v>3.4984496442082373</v>
      </c>
      <c r="I71" s="221">
        <f>'table 1 &amp; 2'!H74/'table 1 &amp; 2'!$B$74*100</f>
        <v>17.787489887741256</v>
      </c>
    </row>
    <row r="72" spans="2:9" x14ac:dyDescent="0.2">
      <c r="B72" s="52" t="s">
        <v>54</v>
      </c>
      <c r="C72" s="227">
        <f>'table 1 &amp; 2'!B75/'table 1 &amp; 2'!$B$75*100</f>
        <v>100</v>
      </c>
      <c r="D72" s="228">
        <f>'table 1 &amp; 2'!C75/'table 1 &amp; 2'!$B$75*100</f>
        <v>60.208985642069521</v>
      </c>
      <c r="E72" s="227">
        <f>'table 1 &amp; 2'!D75/'table 1 &amp; 2'!$B$75*100</f>
        <v>39.791014357930464</v>
      </c>
      <c r="F72" s="227">
        <f>'table 1 &amp; 2'!E75/'table 1 &amp; 2'!$B$75*100</f>
        <v>100</v>
      </c>
      <c r="G72" s="228">
        <f>'table 1 &amp; 2'!F75/'table 1 &amp; 2'!$B$75*100</f>
        <v>0</v>
      </c>
      <c r="H72" s="227">
        <f>'table 1 &amp; 2'!G75/'table 1 &amp; 2'!$B$75*100</f>
        <v>0</v>
      </c>
      <c r="I72" s="227">
        <f>'table 1 &amp; 2'!H75/'table 1 &amp; 2'!$B$75*100</f>
        <v>0</v>
      </c>
    </row>
    <row r="73" spans="2:9" x14ac:dyDescent="0.2">
      <c r="B73" t="s">
        <v>55</v>
      </c>
      <c r="C73" s="221">
        <f>'table 1 &amp; 2'!B76/'table 1 &amp; 2'!$B$76*100</f>
        <v>100</v>
      </c>
      <c r="D73" s="224">
        <f>'table 1 &amp; 2'!C76/'table 1 &amp; 2'!$B$76*100</f>
        <v>76.746590149792297</v>
      </c>
      <c r="E73" s="221">
        <f>'table 1 &amp; 2'!D76/'table 1 &amp; 2'!$B$76*100</f>
        <v>21.228647187842707</v>
      </c>
      <c r="F73" s="221">
        <f>'table 1 &amp; 2'!E76/'table 1 &amp; 2'!$B$76*100</f>
        <v>97.975237337635008</v>
      </c>
      <c r="G73" s="224">
        <f>'table 1 &amp; 2'!F76/'table 1 &amp; 2'!$B$76*100</f>
        <v>1.6142394611478712</v>
      </c>
      <c r="H73" s="221">
        <f>'table 1 &amp; 2'!G76/'table 1 &amp; 2'!$B$76*100</f>
        <v>0.41052320121712971</v>
      </c>
      <c r="I73" s="221">
        <f>'table 1 &amp; 2'!H76/'table 1 &amp; 2'!$B$76*100</f>
        <v>2.024762662365001</v>
      </c>
    </row>
    <row r="74" spans="2:9" x14ac:dyDescent="0.2">
      <c r="B74" s="52" t="s">
        <v>56</v>
      </c>
      <c r="C74" s="227">
        <f>'table 1 &amp; 2'!B77/'table 1 &amp; 2'!$B$77*100</f>
        <v>100</v>
      </c>
      <c r="D74" s="228">
        <f>'table 1 &amp; 2'!C77/'table 1 &amp; 2'!$B$77*100</f>
        <v>75.808458774043118</v>
      </c>
      <c r="E74" s="227">
        <f>'table 1 &amp; 2'!D77/'table 1 &amp; 2'!$B$77*100</f>
        <v>24.191541225956875</v>
      </c>
      <c r="F74" s="227">
        <f>'table 1 &amp; 2'!E77/'table 1 &amp; 2'!$B$77*100</f>
        <v>100</v>
      </c>
      <c r="G74" s="228">
        <f>'table 1 &amp; 2'!F77/'table 1 &amp; 2'!$B$77*100</f>
        <v>0</v>
      </c>
      <c r="H74" s="227">
        <f>'table 1 &amp; 2'!G77/'table 1 &amp; 2'!$B$77*100</f>
        <v>0</v>
      </c>
      <c r="I74" s="227">
        <f>'table 1 &amp; 2'!H77/'table 1 &amp; 2'!$B$77*100</f>
        <v>0</v>
      </c>
    </row>
    <row r="75" spans="2:9" x14ac:dyDescent="0.2">
      <c r="B75" t="s">
        <v>57</v>
      </c>
      <c r="C75" s="221">
        <f>'table 1 &amp; 2'!B78/'table 1 &amp; 2'!$B$78*100</f>
        <v>100</v>
      </c>
      <c r="D75" s="224">
        <f>'table 1 &amp; 2'!C78/'table 1 &amp; 2'!$B$78*100</f>
        <v>57.342410443073973</v>
      </c>
      <c r="E75" s="221">
        <f>'table 1 &amp; 2'!D78/'table 1 &amp; 2'!$B$78*100</f>
        <v>42.657589556926013</v>
      </c>
      <c r="F75" s="221">
        <f>'table 1 &amp; 2'!E78/'table 1 &amp; 2'!$B$78*100</f>
        <v>100</v>
      </c>
      <c r="G75" s="224">
        <f>'table 1 &amp; 2'!F78/'table 1 &amp; 2'!$B$78*100</f>
        <v>0</v>
      </c>
      <c r="H75" s="221">
        <f>'table 1 &amp; 2'!G78/'table 1 &amp; 2'!$B$78*100</f>
        <v>0</v>
      </c>
      <c r="I75" s="221">
        <f>'table 1 &amp; 2'!H78/'table 1 &amp; 2'!$B$78*100</f>
        <v>0</v>
      </c>
    </row>
    <row r="76" spans="2:9" x14ac:dyDescent="0.2">
      <c r="B76" s="52" t="s">
        <v>58</v>
      </c>
      <c r="C76" s="227">
        <f>'table 1 &amp; 2'!B79/'table 1 &amp; 2'!$B$79*100</f>
        <v>100</v>
      </c>
      <c r="D76" s="228">
        <f>'table 1 &amp; 2'!C79/'table 1 &amp; 2'!$B$79*100</f>
        <v>51.896658727847502</v>
      </c>
      <c r="E76" s="227">
        <f>'table 1 &amp; 2'!D79/'table 1 &amp; 2'!$B$79*100</f>
        <v>48.103341272152512</v>
      </c>
      <c r="F76" s="227">
        <f>'table 1 &amp; 2'!E79/'table 1 &amp; 2'!$B$79*100</f>
        <v>100</v>
      </c>
      <c r="G76" s="228">
        <f>'table 1 &amp; 2'!F79/'table 1 &amp; 2'!$B$79*100</f>
        <v>0</v>
      </c>
      <c r="H76" s="227">
        <f>'table 1 &amp; 2'!G79/'table 1 &amp; 2'!$B$79*100</f>
        <v>0</v>
      </c>
      <c r="I76" s="227">
        <f>'table 1 &amp; 2'!H79/'table 1 &amp; 2'!$B$79*100</f>
        <v>0</v>
      </c>
    </row>
    <row r="77" spans="2:9" x14ac:dyDescent="0.2">
      <c r="B77" t="s">
        <v>59</v>
      </c>
      <c r="C77" s="221">
        <f>'table 1 &amp; 2'!B80/'table 1 &amp; 2'!$B$80*100</f>
        <v>100</v>
      </c>
      <c r="D77" s="224">
        <f>'table 1 &amp; 2'!C80/'table 1 &amp; 2'!$B$80*100</f>
        <v>55.66676288510395</v>
      </c>
      <c r="E77" s="221">
        <f>'table 1 &amp; 2'!D80/'table 1 &amp; 2'!$B$80*100</f>
        <v>44.333237114896058</v>
      </c>
      <c r="F77" s="221">
        <f>'table 1 &amp; 2'!E80/'table 1 &amp; 2'!$B$80*100</f>
        <v>100</v>
      </c>
      <c r="G77" s="224">
        <f>'table 1 &amp; 2'!F80/'table 1 &amp; 2'!$B$80*100</f>
        <v>0</v>
      </c>
      <c r="H77" s="221">
        <f>'table 1 &amp; 2'!G80/'table 1 &amp; 2'!$B$80*100</f>
        <v>0</v>
      </c>
      <c r="I77" s="221">
        <f>'table 1 &amp; 2'!H80/'table 1 &amp; 2'!$B$80*100</f>
        <v>0</v>
      </c>
    </row>
    <row r="78" spans="2:9" x14ac:dyDescent="0.2">
      <c r="B78" s="52" t="s">
        <v>60</v>
      </c>
      <c r="C78" s="227">
        <f>'table 1 &amp; 2'!B81/'table 1 &amp; 2'!$B$81*100</f>
        <v>100</v>
      </c>
      <c r="D78" s="228">
        <f>'table 1 &amp; 2'!C81/'table 1 &amp; 2'!$B$81*100</f>
        <v>40.163823714703902</v>
      </c>
      <c r="E78" s="227">
        <f>'table 1 &amp; 2'!D81/'table 1 &amp; 2'!$B$81*100</f>
        <v>59.836176285296091</v>
      </c>
      <c r="F78" s="227">
        <f>'table 1 &amp; 2'!E81/'table 1 &amp; 2'!$B$81*100</f>
        <v>100</v>
      </c>
      <c r="G78" s="228">
        <f>'table 1 &amp; 2'!F81/'table 1 &amp; 2'!$B$81*100</f>
        <v>0</v>
      </c>
      <c r="H78" s="227">
        <f>'table 1 &amp; 2'!G81/'table 1 &amp; 2'!$B$81*100</f>
        <v>0</v>
      </c>
      <c r="I78" s="227">
        <f>'table 1 &amp; 2'!H81/'table 1 &amp; 2'!$B$81*100</f>
        <v>0</v>
      </c>
    </row>
    <row r="79" spans="2:9" x14ac:dyDescent="0.2">
      <c r="B79" t="s">
        <v>61</v>
      </c>
      <c r="C79" s="221">
        <f>'table 1 &amp; 2'!B82/'table 1 &amp; 2'!$B$82*100</f>
        <v>100</v>
      </c>
      <c r="D79" s="224">
        <f>'table 1 &amp; 2'!C82/'table 1 &amp; 2'!$B$82*100</f>
        <v>24.156298979270328</v>
      </c>
      <c r="E79" s="221">
        <f>'table 1 &amp; 2'!D82/'table 1 &amp; 2'!$B$82*100</f>
        <v>71.565559527124094</v>
      </c>
      <c r="F79" s="221">
        <f>'table 1 &amp; 2'!E82/'table 1 &amp; 2'!$B$82*100</f>
        <v>95.721858506394426</v>
      </c>
      <c r="G79" s="224">
        <f>'table 1 &amp; 2'!F82/'table 1 &amp; 2'!$B$82*100</f>
        <v>3.4773122457174033</v>
      </c>
      <c r="H79" s="221">
        <f>'table 1 &amp; 2'!G82/'table 1 &amp; 2'!$B$82*100</f>
        <v>0.80082924788816667</v>
      </c>
      <c r="I79" s="221">
        <f>'table 1 &amp; 2'!H82/'table 1 &amp; 2'!$B$82*100</f>
        <v>4.2781414936055695</v>
      </c>
    </row>
    <row r="80" spans="2:9" x14ac:dyDescent="0.2">
      <c r="B80" s="52" t="s">
        <v>62</v>
      </c>
      <c r="C80" s="227">
        <f>'table 1 &amp; 2'!B83/'table 1 &amp; 2'!$B$83*100</f>
        <v>100</v>
      </c>
      <c r="D80" s="228">
        <f>'table 1 &amp; 2'!C83/'table 1 &amp; 2'!$B$83*100</f>
        <v>67.025773121149797</v>
      </c>
      <c r="E80" s="227">
        <f>'table 1 &amp; 2'!D83/'table 1 &amp; 2'!$B$83*100</f>
        <v>32.974226878850203</v>
      </c>
      <c r="F80" s="227">
        <f>'table 1 &amp; 2'!E83/'table 1 &amp; 2'!$B$83*100</f>
        <v>100</v>
      </c>
      <c r="G80" s="228">
        <f>'table 1 &amp; 2'!F83/'table 1 &amp; 2'!$B$83*100</f>
        <v>0</v>
      </c>
      <c r="H80" s="227">
        <f>'table 1 &amp; 2'!G83/'table 1 &amp; 2'!$B$83*100</f>
        <v>0</v>
      </c>
      <c r="I80" s="227">
        <f>'table 1 &amp; 2'!H83/'table 1 &amp; 2'!$B$83*100</f>
        <v>0</v>
      </c>
    </row>
    <row r="81" spans="2:9" x14ac:dyDescent="0.2">
      <c r="B81" s="117" t="s">
        <v>406</v>
      </c>
      <c r="C81" s="222">
        <f>'table 1 &amp; 2'!B84/'table 1 &amp; 2'!$B$84*100</f>
        <v>100</v>
      </c>
      <c r="D81" s="225">
        <f>'table 1 &amp; 2'!C84/'table 1 &amp; 2'!$B$84*100</f>
        <v>52.563960827173858</v>
      </c>
      <c r="E81" s="222">
        <f>'table 1 &amp; 2'!D84/'table 1 &amp; 2'!$B$84*100</f>
        <v>26.768101412861856</v>
      </c>
      <c r="F81" s="222">
        <f>'table 1 &amp; 2'!E84/'table 1 &amp; 2'!$B$84*100</f>
        <v>79.332062240035711</v>
      </c>
      <c r="G81" s="225">
        <f>'table 1 &amp; 2'!F84/'table 1 &amp; 2'!$B$84*100</f>
        <v>16.608511020258092</v>
      </c>
      <c r="H81" s="222">
        <f>'table 1 &amp; 2'!G84/'table 1 &amp; 2'!$B$84*100</f>
        <v>4.0594267397061925</v>
      </c>
      <c r="I81" s="222">
        <f>'table 1 &amp; 2'!H84/'table 1 &amp; 2'!$B$84*100</f>
        <v>20.667937759964282</v>
      </c>
    </row>
    <row r="82" spans="2:9" x14ac:dyDescent="0.2">
      <c r="B82" t="s">
        <v>407</v>
      </c>
    </row>
    <row r="86" spans="2:9" ht="15" x14ac:dyDescent="0.2">
      <c r="B86" s="603">
        <f>'Tables 11 &amp; 12'!B85:M85+1</f>
        <v>15</v>
      </c>
      <c r="C86" s="603"/>
      <c r="D86" s="603"/>
      <c r="E86" s="603"/>
      <c r="F86" s="603"/>
      <c r="G86" s="603"/>
      <c r="H86" s="603"/>
      <c r="I86" s="603"/>
    </row>
  </sheetData>
  <mergeCells count="1">
    <mergeCell ref="B86:I86"/>
  </mergeCells>
  <phoneticPr fontId="38" type="noConversion"/>
  <printOptions horizontalCentered="1" verticalCentered="1"/>
  <pageMargins left="0.75" right="0.75" top="0.36" bottom="0.37" header="0" footer="0"/>
  <pageSetup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Y89"/>
  <sheetViews>
    <sheetView showGridLines="0" topLeftCell="A64" zoomScaleNormal="100" workbookViewId="0">
      <selection activeCell="AB53" sqref="AB53"/>
    </sheetView>
  </sheetViews>
  <sheetFormatPr defaultRowHeight="12.75" x14ac:dyDescent="0.2"/>
  <cols>
    <col min="2" max="2" width="10.85546875" bestFit="1" customWidth="1"/>
    <col min="3" max="4" width="12.140625" customWidth="1"/>
    <col min="5" max="5" width="12.7109375" customWidth="1"/>
    <col min="6" max="6" width="12.140625" customWidth="1"/>
    <col min="7" max="7" width="13" customWidth="1"/>
    <col min="8" max="8" width="11.140625" customWidth="1"/>
    <col min="9" max="9" width="13.140625" customWidth="1"/>
    <col min="11" max="11" width="15.85546875" hidden="1" customWidth="1"/>
    <col min="12" max="12" width="15.28515625" hidden="1" customWidth="1"/>
    <col min="13" max="15" width="0" hidden="1" customWidth="1"/>
    <col min="16" max="16" width="14.140625" hidden="1" customWidth="1"/>
    <col min="17" max="17" width="13" hidden="1" customWidth="1"/>
    <col min="18" max="22" width="0" hidden="1" customWidth="1"/>
  </cols>
  <sheetData>
    <row r="1" spans="2:25" ht="15.75" x14ac:dyDescent="0.25">
      <c r="B1" s="1" t="s">
        <v>444</v>
      </c>
    </row>
    <row r="2" spans="2:25" ht="15.75" x14ac:dyDescent="0.25">
      <c r="B2" s="3" t="s">
        <v>497</v>
      </c>
      <c r="E2" s="3" t="str">
        <f>'table 1 &amp; 2'!C2</f>
        <v>2022 Tax Year</v>
      </c>
    </row>
    <row r="4" spans="2:25" x14ac:dyDescent="0.2">
      <c r="B4" s="7" t="s">
        <v>507</v>
      </c>
      <c r="C4" s="7"/>
      <c r="D4" s="7"/>
      <c r="E4" s="7"/>
      <c r="F4" s="7"/>
      <c r="G4" s="7"/>
      <c r="H4" s="7" t="str">
        <f>E2</f>
        <v>2022 Tax Year</v>
      </c>
      <c r="I4" s="7"/>
    </row>
    <row r="5" spans="2:25" ht="6.75" customHeight="1" x14ac:dyDescent="0.25">
      <c r="B5" s="74"/>
      <c r="C5" s="7"/>
      <c r="D5" s="7"/>
      <c r="E5" s="7"/>
      <c r="F5" s="7"/>
      <c r="G5" s="7"/>
      <c r="H5" s="7"/>
      <c r="I5" s="7"/>
    </row>
    <row r="6" spans="2:25" x14ac:dyDescent="0.2">
      <c r="C6" s="46"/>
      <c r="D6" s="129"/>
      <c r="E6" s="177"/>
      <c r="F6" s="177"/>
      <c r="G6" s="129" t="s">
        <v>4</v>
      </c>
      <c r="H6" s="177"/>
      <c r="I6" s="177"/>
    </row>
    <row r="7" spans="2:25" ht="13.5" thickBot="1" x14ac:dyDescent="0.25">
      <c r="B7" s="47" t="s">
        <v>27</v>
      </c>
      <c r="C7" s="229" t="s">
        <v>8</v>
      </c>
      <c r="D7" s="230" t="s">
        <v>9</v>
      </c>
      <c r="E7" s="68" t="s">
        <v>28</v>
      </c>
      <c r="F7" s="68" t="s">
        <v>29</v>
      </c>
      <c r="G7" s="231" t="s">
        <v>30</v>
      </c>
      <c r="H7" s="178" t="s">
        <v>10</v>
      </c>
      <c r="I7" s="178" t="s">
        <v>29</v>
      </c>
      <c r="L7" s="181">
        <f>AVERAGE(L8:L40)</f>
        <v>13016766.917089105</v>
      </c>
      <c r="R7" s="181">
        <f>AVERAGE(R8:R40)</f>
        <v>276.24337086376028</v>
      </c>
    </row>
    <row r="8" spans="2:25" x14ac:dyDescent="0.2">
      <c r="B8" s="52" t="s">
        <v>31</v>
      </c>
      <c r="C8" s="53">
        <f>F8+I8</f>
        <v>149468322.89356798</v>
      </c>
      <c r="D8" s="238">
        <v>106444314.26281799</v>
      </c>
      <c r="E8" s="53">
        <v>43024008.630749986</v>
      </c>
      <c r="F8" s="53">
        <f>SUM(D8:E8)</f>
        <v>149468322.89356798</v>
      </c>
      <c r="G8" s="238"/>
      <c r="H8" s="53"/>
      <c r="I8" s="53">
        <f>SUM(G8:H8)</f>
        <v>0</v>
      </c>
      <c r="K8" s="52" t="s">
        <v>31</v>
      </c>
      <c r="L8" s="176">
        <v>107494856.25115001</v>
      </c>
      <c r="M8" s="52" t="s">
        <v>31</v>
      </c>
      <c r="N8" s="248">
        <v>635139</v>
      </c>
      <c r="O8">
        <f>+L8/N8</f>
        <v>169.24619059945934</v>
      </c>
      <c r="P8" s="52" t="s">
        <v>31</v>
      </c>
      <c r="Q8" s="53">
        <v>107494856.25115001</v>
      </c>
      <c r="R8" s="262">
        <f>+Q8/N8</f>
        <v>169.24619059945934</v>
      </c>
      <c r="X8" s="448" t="s">
        <v>530</v>
      </c>
      <c r="Y8" s="449"/>
    </row>
    <row r="9" spans="2:25" x14ac:dyDescent="0.2">
      <c r="B9" t="s">
        <v>32</v>
      </c>
      <c r="C9" s="48">
        <f t="shared" ref="C9:C40" si="0">F9+I9</f>
        <v>1673147.8070919998</v>
      </c>
      <c r="D9" s="232">
        <v>972484.84649200004</v>
      </c>
      <c r="E9" s="48">
        <v>700662.96059999987</v>
      </c>
      <c r="F9" s="48">
        <f t="shared" ref="F9:F40" si="1">SUM(D9:E9)</f>
        <v>1673147.8070919998</v>
      </c>
      <c r="G9" s="232"/>
      <c r="H9" s="48"/>
      <c r="I9" s="48">
        <f t="shared" ref="I9:I40" si="2">SUM(G9:H9)</f>
        <v>0</v>
      </c>
      <c r="K9" s="52" t="s">
        <v>56</v>
      </c>
      <c r="L9" s="176">
        <v>42746324.385660008</v>
      </c>
      <c r="M9" t="s">
        <v>32</v>
      </c>
      <c r="N9" s="248">
        <v>3405</v>
      </c>
      <c r="O9">
        <f t="shared" ref="O9:O40" si="3">+L9/N9</f>
        <v>12553.986603718064</v>
      </c>
      <c r="P9" t="s">
        <v>32</v>
      </c>
      <c r="Q9" s="48">
        <v>1185616.2622529999</v>
      </c>
      <c r="R9" s="262">
        <f t="shared" ref="R9:R40" si="4">+Q9/N9</f>
        <v>348.19860859118938</v>
      </c>
      <c r="X9" s="450"/>
      <c r="Y9" s="451">
        <f>C41/'Tables 9 &amp; 10'!C43</f>
        <v>349.76404846313449</v>
      </c>
    </row>
    <row r="10" spans="2:25" x14ac:dyDescent="0.2">
      <c r="B10" s="52" t="s">
        <v>33</v>
      </c>
      <c r="C10" s="53">
        <f t="shared" si="0"/>
        <v>11341747.454399999</v>
      </c>
      <c r="D10" s="238">
        <v>4254664.1525999997</v>
      </c>
      <c r="E10" s="53">
        <v>6474797.2669500001</v>
      </c>
      <c r="F10" s="53">
        <f t="shared" si="1"/>
        <v>10729461.41955</v>
      </c>
      <c r="G10" s="238">
        <v>487684.69290000002</v>
      </c>
      <c r="H10" s="53">
        <v>124601.34194999997</v>
      </c>
      <c r="I10" s="53">
        <f t="shared" si="2"/>
        <v>612286.03484999994</v>
      </c>
      <c r="K10" t="s">
        <v>43</v>
      </c>
      <c r="L10" s="176">
        <v>39285180.067145996</v>
      </c>
      <c r="M10" s="52" t="s">
        <v>33</v>
      </c>
      <c r="N10" s="248">
        <v>63060</v>
      </c>
      <c r="O10">
        <f t="shared" si="3"/>
        <v>622.98097156907704</v>
      </c>
      <c r="P10" s="52" t="s">
        <v>33</v>
      </c>
      <c r="Q10" s="53">
        <v>9446373.5700164996</v>
      </c>
      <c r="R10" s="262">
        <f t="shared" si="4"/>
        <v>149.79977117057564</v>
      </c>
    </row>
    <row r="11" spans="2:25" x14ac:dyDescent="0.2">
      <c r="B11" t="s">
        <v>34</v>
      </c>
      <c r="C11" s="48">
        <f t="shared" si="0"/>
        <v>4050124.9728539996</v>
      </c>
      <c r="D11" s="232">
        <v>1434825.007704</v>
      </c>
      <c r="E11" s="48">
        <v>2615299.9651499996</v>
      </c>
      <c r="F11" s="48">
        <f t="shared" si="1"/>
        <v>4050124.9728539996</v>
      </c>
      <c r="G11" s="232"/>
      <c r="H11" s="48"/>
      <c r="I11" s="48">
        <f t="shared" si="2"/>
        <v>0</v>
      </c>
      <c r="K11" t="s">
        <v>53</v>
      </c>
      <c r="L11" s="176">
        <v>35987210.645899996</v>
      </c>
      <c r="M11" t="s">
        <v>34</v>
      </c>
      <c r="N11" s="248">
        <v>27285</v>
      </c>
      <c r="O11">
        <f t="shared" si="3"/>
        <v>1318.9375351255267</v>
      </c>
      <c r="P11" t="s">
        <v>34</v>
      </c>
      <c r="Q11" s="48">
        <v>2926624.5830860003</v>
      </c>
      <c r="R11" s="262">
        <f t="shared" si="4"/>
        <v>107.26130046127911</v>
      </c>
    </row>
    <row r="12" spans="2:25" x14ac:dyDescent="0.2">
      <c r="B12" s="52" t="s">
        <v>35</v>
      </c>
      <c r="C12" s="53">
        <f t="shared" si="0"/>
        <v>7265167.9075809997</v>
      </c>
      <c r="D12" s="238">
        <v>4249829.1841810001</v>
      </c>
      <c r="E12" s="53">
        <v>2583157.26675</v>
      </c>
      <c r="F12" s="53">
        <f t="shared" si="1"/>
        <v>6832986.4509309996</v>
      </c>
      <c r="G12" s="238">
        <v>354581.19839999999</v>
      </c>
      <c r="H12" s="53">
        <v>77600.258249999999</v>
      </c>
      <c r="I12" s="53">
        <f t="shared" si="2"/>
        <v>432181.45665000001</v>
      </c>
      <c r="K12" t="s">
        <v>37</v>
      </c>
      <c r="L12" s="176">
        <v>33984975.144288003</v>
      </c>
      <c r="M12" s="52" t="s">
        <v>35</v>
      </c>
      <c r="N12" s="248">
        <v>12962</v>
      </c>
      <c r="O12">
        <f t="shared" si="3"/>
        <v>2621.8928517426325</v>
      </c>
      <c r="P12" s="52" t="s">
        <v>35</v>
      </c>
      <c r="Q12" s="53">
        <v>5375342.512782</v>
      </c>
      <c r="R12" s="262">
        <f t="shared" si="4"/>
        <v>414.70008584956025</v>
      </c>
    </row>
    <row r="13" spans="2:25" x14ac:dyDescent="0.2">
      <c r="B13" t="s">
        <v>36</v>
      </c>
      <c r="C13" s="48">
        <f t="shared" si="0"/>
        <v>9927363.239599999</v>
      </c>
      <c r="D13" s="232">
        <v>6164836.3139500003</v>
      </c>
      <c r="E13" s="48">
        <v>3762526.9256499996</v>
      </c>
      <c r="F13" s="48">
        <f t="shared" si="1"/>
        <v>9927363.239599999</v>
      </c>
      <c r="G13" s="232"/>
      <c r="H13" s="48"/>
      <c r="I13" s="48">
        <f t="shared" si="2"/>
        <v>0</v>
      </c>
      <c r="K13" s="52" t="s">
        <v>38</v>
      </c>
      <c r="L13" s="176">
        <v>26133280.958453998</v>
      </c>
      <c r="M13" t="s">
        <v>36</v>
      </c>
      <c r="N13" s="248">
        <v>43755</v>
      </c>
      <c r="O13">
        <f t="shared" si="3"/>
        <v>597.26387746438115</v>
      </c>
      <c r="P13" t="s">
        <v>36</v>
      </c>
      <c r="Q13" s="48">
        <v>6132517.2961940002</v>
      </c>
      <c r="R13" s="262">
        <f t="shared" si="4"/>
        <v>140.15580610659353</v>
      </c>
    </row>
    <row r="14" spans="2:25" x14ac:dyDescent="0.2">
      <c r="B14" s="52" t="s">
        <v>67</v>
      </c>
      <c r="C14" s="53">
        <f t="shared" si="0"/>
        <v>943053.05845799984</v>
      </c>
      <c r="D14" s="238">
        <v>192653.95477299998</v>
      </c>
      <c r="E14" s="53">
        <v>750399.10368499986</v>
      </c>
      <c r="F14" s="53">
        <f t="shared" si="1"/>
        <v>943053.05845799984</v>
      </c>
      <c r="G14" s="238"/>
      <c r="H14" s="53"/>
      <c r="I14" s="53">
        <f t="shared" si="2"/>
        <v>0</v>
      </c>
      <c r="K14" t="s">
        <v>51</v>
      </c>
      <c r="L14" s="176">
        <v>22905105.641509</v>
      </c>
      <c r="M14" s="52" t="s">
        <v>67</v>
      </c>
      <c r="N14" s="248">
        <v>1907</v>
      </c>
      <c r="O14">
        <f t="shared" si="3"/>
        <v>12011.067457529627</v>
      </c>
      <c r="P14" s="52" t="s">
        <v>67</v>
      </c>
      <c r="Q14" s="53">
        <v>589491.53411999997</v>
      </c>
      <c r="R14" s="262">
        <f t="shared" si="4"/>
        <v>309.11983960146824</v>
      </c>
    </row>
    <row r="15" spans="2:25" x14ac:dyDescent="0.2">
      <c r="B15" t="s">
        <v>37</v>
      </c>
      <c r="C15" s="48">
        <f t="shared" si="0"/>
        <v>51592051.700122014</v>
      </c>
      <c r="D15" s="232">
        <v>34731006.827872016</v>
      </c>
      <c r="E15" s="48">
        <v>16861044.872250002</v>
      </c>
      <c r="F15" s="48">
        <f t="shared" si="1"/>
        <v>51592051.700122014</v>
      </c>
      <c r="G15" s="232"/>
      <c r="H15" s="48"/>
      <c r="I15" s="48">
        <f t="shared" si="2"/>
        <v>0</v>
      </c>
      <c r="K15" t="s">
        <v>55</v>
      </c>
      <c r="L15" s="176">
        <v>18515693.079924002</v>
      </c>
      <c r="M15" t="s">
        <v>37</v>
      </c>
      <c r="N15" s="248">
        <v>201603</v>
      </c>
      <c r="O15">
        <f t="shared" si="3"/>
        <v>91.842348972604583</v>
      </c>
      <c r="P15" t="s">
        <v>37</v>
      </c>
      <c r="Q15" s="48">
        <v>33984975.144288003</v>
      </c>
      <c r="R15" s="262">
        <f t="shared" si="4"/>
        <v>168.57375705861523</v>
      </c>
    </row>
    <row r="16" spans="2:25" x14ac:dyDescent="0.2">
      <c r="B16" s="52" t="s">
        <v>38</v>
      </c>
      <c r="C16" s="53">
        <f t="shared" si="0"/>
        <v>100267272.70497599</v>
      </c>
      <c r="D16" s="238">
        <v>5140310.4374759989</v>
      </c>
      <c r="E16" s="53">
        <v>24605385.412499998</v>
      </c>
      <c r="F16" s="53">
        <f t="shared" si="1"/>
        <v>29745695.849975996</v>
      </c>
      <c r="G16" s="238">
        <v>56750714.385000005</v>
      </c>
      <c r="H16" s="53">
        <v>13770862.470000001</v>
      </c>
      <c r="I16" s="53">
        <f t="shared" si="2"/>
        <v>70521576.855000004</v>
      </c>
      <c r="K16" s="52" t="s">
        <v>33</v>
      </c>
      <c r="L16" s="176">
        <v>9446373.5700164996</v>
      </c>
      <c r="M16" s="52" t="s">
        <v>38</v>
      </c>
      <c r="N16" s="248">
        <v>51360</v>
      </c>
      <c r="O16">
        <f t="shared" si="3"/>
        <v>183.92471904237732</v>
      </c>
      <c r="P16" s="52" t="s">
        <v>38</v>
      </c>
      <c r="Q16" s="53">
        <v>26133280.958453998</v>
      </c>
      <c r="R16" s="262">
        <f t="shared" si="4"/>
        <v>508.82556383282707</v>
      </c>
    </row>
    <row r="17" spans="2:18" x14ac:dyDescent="0.2">
      <c r="B17" t="s">
        <v>39</v>
      </c>
      <c r="C17" s="48">
        <f t="shared" si="0"/>
        <v>7334383.0819500005</v>
      </c>
      <c r="D17" s="232">
        <v>3184291.8187500001</v>
      </c>
      <c r="E17" s="48">
        <v>2566120.7469000001</v>
      </c>
      <c r="F17" s="48">
        <f t="shared" si="1"/>
        <v>5750412.5656500002</v>
      </c>
      <c r="G17" s="232">
        <v>1583970.5163</v>
      </c>
      <c r="H17" s="48"/>
      <c r="I17" s="48">
        <f t="shared" si="2"/>
        <v>1583970.5163</v>
      </c>
      <c r="K17" s="52" t="s">
        <v>62</v>
      </c>
      <c r="L17" s="176">
        <v>9414489.8172239996</v>
      </c>
      <c r="M17" t="s">
        <v>39</v>
      </c>
      <c r="N17" s="248">
        <v>29844</v>
      </c>
      <c r="O17">
        <f t="shared" si="3"/>
        <v>315.45670209167673</v>
      </c>
      <c r="P17" t="s">
        <v>39</v>
      </c>
      <c r="Q17" s="48">
        <v>6465253.2397279991</v>
      </c>
      <c r="R17" s="262">
        <f t="shared" si="4"/>
        <v>216.63494302801229</v>
      </c>
    </row>
    <row r="18" spans="2:18" x14ac:dyDescent="0.2">
      <c r="B18" s="52" t="s">
        <v>40</v>
      </c>
      <c r="C18" s="53">
        <f t="shared" si="0"/>
        <v>2132238.0408960003</v>
      </c>
      <c r="D18" s="238">
        <v>371888.46294600004</v>
      </c>
      <c r="E18" s="53">
        <v>1760349.5779500001</v>
      </c>
      <c r="F18" s="53">
        <f t="shared" si="1"/>
        <v>2132238.0408960003</v>
      </c>
      <c r="G18" s="238"/>
      <c r="H18" s="53"/>
      <c r="I18" s="53">
        <f t="shared" si="2"/>
        <v>0</v>
      </c>
      <c r="K18" t="s">
        <v>59</v>
      </c>
      <c r="L18" s="176">
        <v>8787778.7235669997</v>
      </c>
      <c r="M18" s="52" t="s">
        <v>40</v>
      </c>
      <c r="N18" s="248">
        <v>4346</v>
      </c>
      <c r="O18">
        <f t="shared" si="3"/>
        <v>2022.0383625326735</v>
      </c>
      <c r="P18" s="52" t="s">
        <v>40</v>
      </c>
      <c r="Q18" s="53">
        <v>1163194.6524479999</v>
      </c>
      <c r="R18" s="262">
        <f t="shared" si="4"/>
        <v>267.64718187942935</v>
      </c>
    </row>
    <row r="19" spans="2:18" x14ac:dyDescent="0.2">
      <c r="B19" t="s">
        <v>41</v>
      </c>
      <c r="C19" s="48">
        <f t="shared" si="0"/>
        <v>804195.95121000009</v>
      </c>
      <c r="D19" s="232">
        <v>50695.041375000001</v>
      </c>
      <c r="E19" s="48">
        <v>568942.86553499999</v>
      </c>
      <c r="F19" s="48">
        <f t="shared" si="1"/>
        <v>619637.90691000002</v>
      </c>
      <c r="G19" s="232">
        <v>150446.33870000002</v>
      </c>
      <c r="H19" s="48">
        <v>34111.705600000001</v>
      </c>
      <c r="I19" s="48">
        <f t="shared" si="2"/>
        <v>184558.04430000001</v>
      </c>
      <c r="K19" t="s">
        <v>49</v>
      </c>
      <c r="L19" s="176">
        <v>7590211.865348001</v>
      </c>
      <c r="M19" t="s">
        <v>41</v>
      </c>
      <c r="N19" s="248">
        <v>684</v>
      </c>
      <c r="O19">
        <f t="shared" si="3"/>
        <v>11096.800972730996</v>
      </c>
      <c r="P19" t="s">
        <v>41</v>
      </c>
      <c r="Q19" s="48">
        <v>793572.3648155001</v>
      </c>
      <c r="R19" s="262">
        <f t="shared" si="4"/>
        <v>1160.1935158121346</v>
      </c>
    </row>
    <row r="20" spans="2:18" x14ac:dyDescent="0.2">
      <c r="B20" s="52" t="s">
        <v>42</v>
      </c>
      <c r="C20" s="53">
        <f t="shared" si="0"/>
        <v>2165497.656897</v>
      </c>
      <c r="D20" s="238">
        <v>274554.65624699998</v>
      </c>
      <c r="E20" s="53">
        <v>1890943.0006500001</v>
      </c>
      <c r="F20" s="53">
        <f t="shared" si="1"/>
        <v>2165497.656897</v>
      </c>
      <c r="G20" s="238"/>
      <c r="H20" s="53"/>
      <c r="I20" s="53">
        <f t="shared" si="2"/>
        <v>0</v>
      </c>
      <c r="K20" t="s">
        <v>47</v>
      </c>
      <c r="L20" s="176">
        <v>7101100.0963185001</v>
      </c>
      <c r="M20" s="52" t="s">
        <v>42</v>
      </c>
      <c r="N20" s="248">
        <v>4910</v>
      </c>
      <c r="O20">
        <f t="shared" si="3"/>
        <v>1446.2525654416497</v>
      </c>
      <c r="P20" s="52" t="s">
        <v>42</v>
      </c>
      <c r="Q20" s="53">
        <v>1603331.9942999999</v>
      </c>
      <c r="R20" s="262">
        <f t="shared" si="4"/>
        <v>326.5441943584521</v>
      </c>
    </row>
    <row r="21" spans="2:18" x14ac:dyDescent="0.2">
      <c r="B21" t="s">
        <v>43</v>
      </c>
      <c r="C21" s="48">
        <f t="shared" si="0"/>
        <v>158281506.46428499</v>
      </c>
      <c r="D21" s="232">
        <v>5431923.2218849994</v>
      </c>
      <c r="E21" s="48">
        <v>23023023.054200001</v>
      </c>
      <c r="F21" s="48">
        <f t="shared" si="1"/>
        <v>28454946.276085</v>
      </c>
      <c r="G21" s="232">
        <v>104040294.949</v>
      </c>
      <c r="H21" s="48">
        <v>25786265.2392</v>
      </c>
      <c r="I21" s="48">
        <f t="shared" si="2"/>
        <v>129826560.1882</v>
      </c>
      <c r="K21" t="s">
        <v>39</v>
      </c>
      <c r="L21" s="176">
        <v>6465253.2397279991</v>
      </c>
      <c r="M21" t="s">
        <v>43</v>
      </c>
      <c r="N21" s="248">
        <v>59155</v>
      </c>
      <c r="O21">
        <f t="shared" si="3"/>
        <v>109.29343656035836</v>
      </c>
      <c r="P21" t="s">
        <v>43</v>
      </c>
      <c r="Q21" s="48">
        <v>39285180.067145996</v>
      </c>
      <c r="R21" s="262">
        <f t="shared" si="4"/>
        <v>664.105824818629</v>
      </c>
    </row>
    <row r="22" spans="2:18" x14ac:dyDescent="0.2">
      <c r="B22" s="52" t="s">
        <v>44</v>
      </c>
      <c r="C22" s="53">
        <f t="shared" si="0"/>
        <v>7959604.1170340013</v>
      </c>
      <c r="D22" s="238">
        <v>5484394.3080660012</v>
      </c>
      <c r="E22" s="53">
        <v>2475209.8089679996</v>
      </c>
      <c r="F22" s="53">
        <f t="shared" si="1"/>
        <v>7959604.1170340013</v>
      </c>
      <c r="G22" s="238"/>
      <c r="H22" s="53"/>
      <c r="I22" s="53">
        <f t="shared" si="2"/>
        <v>0</v>
      </c>
      <c r="K22" t="s">
        <v>36</v>
      </c>
      <c r="L22" s="176">
        <v>6132517.2961940002</v>
      </c>
      <c r="M22" s="52" t="s">
        <v>44</v>
      </c>
      <c r="N22" s="248">
        <v>20793</v>
      </c>
      <c r="O22">
        <f t="shared" si="3"/>
        <v>294.93181821738085</v>
      </c>
      <c r="P22" s="52" t="s">
        <v>44</v>
      </c>
      <c r="Q22" s="53">
        <v>5879573.0777330007</v>
      </c>
      <c r="R22" s="262">
        <f t="shared" si="4"/>
        <v>282.76694453580535</v>
      </c>
    </row>
    <row r="23" spans="2:18" x14ac:dyDescent="0.2">
      <c r="B23" t="s">
        <v>45</v>
      </c>
      <c r="C23" s="48">
        <f t="shared" si="0"/>
        <v>5291459.4376600003</v>
      </c>
      <c r="D23" s="232">
        <v>4290365.4739600001</v>
      </c>
      <c r="E23" s="48">
        <v>1001093.9637</v>
      </c>
      <c r="F23" s="48">
        <f t="shared" si="1"/>
        <v>5291459.4376600003</v>
      </c>
      <c r="G23" s="232"/>
      <c r="H23" s="48"/>
      <c r="I23" s="48">
        <f t="shared" si="2"/>
        <v>0</v>
      </c>
      <c r="K23" s="52" t="s">
        <v>44</v>
      </c>
      <c r="L23" s="176">
        <v>5879573.0777330007</v>
      </c>
      <c r="M23" t="s">
        <v>45</v>
      </c>
      <c r="N23" s="248">
        <v>18150</v>
      </c>
      <c r="O23">
        <f t="shared" si="3"/>
        <v>323.9434202607714</v>
      </c>
      <c r="P23" t="s">
        <v>45</v>
      </c>
      <c r="Q23" s="48">
        <v>3885423.3937600004</v>
      </c>
      <c r="R23" s="262">
        <f t="shared" si="4"/>
        <v>214.07291425674933</v>
      </c>
    </row>
    <row r="24" spans="2:18" x14ac:dyDescent="0.2">
      <c r="B24" s="52" t="s">
        <v>46</v>
      </c>
      <c r="C24" s="53">
        <f t="shared" si="0"/>
        <v>7244704.7874839995</v>
      </c>
      <c r="D24" s="238">
        <v>2952133.4732340002</v>
      </c>
      <c r="E24" s="53">
        <v>4292571.3142499998</v>
      </c>
      <c r="F24" s="53">
        <f t="shared" si="1"/>
        <v>7244704.7874839995</v>
      </c>
      <c r="G24" s="238"/>
      <c r="H24" s="53"/>
      <c r="I24" s="53">
        <f t="shared" si="2"/>
        <v>0</v>
      </c>
      <c r="K24" s="52" t="s">
        <v>35</v>
      </c>
      <c r="L24" s="176">
        <v>5375342.512782</v>
      </c>
      <c r="M24" s="52" t="s">
        <v>46</v>
      </c>
      <c r="N24" s="248">
        <v>27227</v>
      </c>
      <c r="O24">
        <f t="shared" si="3"/>
        <v>197.42691125654682</v>
      </c>
      <c r="P24" s="52" t="s">
        <v>46</v>
      </c>
      <c r="Q24" s="53">
        <v>5030013.4298199993</v>
      </c>
      <c r="R24" s="262">
        <f t="shared" si="4"/>
        <v>184.7435791611268</v>
      </c>
    </row>
    <row r="25" spans="2:18" x14ac:dyDescent="0.2">
      <c r="B25" t="s">
        <v>47</v>
      </c>
      <c r="C25" s="48">
        <f t="shared" si="0"/>
        <v>7433979.1645980002</v>
      </c>
      <c r="D25" s="232">
        <v>1971076.728348</v>
      </c>
      <c r="E25" s="48">
        <v>5460078.2850000001</v>
      </c>
      <c r="F25" s="48">
        <f t="shared" si="1"/>
        <v>7431155.0133480001</v>
      </c>
      <c r="G25" s="232">
        <v>2309.7901500000003</v>
      </c>
      <c r="H25" s="48">
        <v>514.36109999999996</v>
      </c>
      <c r="I25" s="48">
        <f t="shared" si="2"/>
        <v>2824.1512500000003</v>
      </c>
      <c r="K25" s="52" t="s">
        <v>46</v>
      </c>
      <c r="L25" s="176">
        <v>5030013.4298199993</v>
      </c>
      <c r="M25" t="s">
        <v>47</v>
      </c>
      <c r="N25" s="248">
        <v>70724</v>
      </c>
      <c r="O25">
        <f t="shared" si="3"/>
        <v>71.121732789717768</v>
      </c>
      <c r="P25" t="s">
        <v>47</v>
      </c>
      <c r="Q25" s="48">
        <v>7101100.0963185001</v>
      </c>
      <c r="R25" s="262">
        <f t="shared" si="4"/>
        <v>100.40580420109863</v>
      </c>
    </row>
    <row r="26" spans="2:18" x14ac:dyDescent="0.2">
      <c r="B26" s="52" t="s">
        <v>48</v>
      </c>
      <c r="C26" s="53">
        <f t="shared" si="0"/>
        <v>1505812.5689100001</v>
      </c>
      <c r="D26" s="238">
        <v>643863.23991000024</v>
      </c>
      <c r="E26" s="53">
        <v>861949.32899999991</v>
      </c>
      <c r="F26" s="53">
        <f t="shared" si="1"/>
        <v>1505812.5689100001</v>
      </c>
      <c r="G26" s="238"/>
      <c r="H26" s="53"/>
      <c r="I26" s="53">
        <f t="shared" si="2"/>
        <v>0</v>
      </c>
      <c r="K26" t="s">
        <v>45</v>
      </c>
      <c r="L26" s="176">
        <v>3885423.3937600004</v>
      </c>
      <c r="M26" s="52" t="s">
        <v>48</v>
      </c>
      <c r="N26" s="248">
        <v>5052</v>
      </c>
      <c r="O26">
        <f t="shared" si="3"/>
        <v>769.0861824544736</v>
      </c>
      <c r="P26" s="52" t="s">
        <v>48</v>
      </c>
      <c r="Q26" s="53">
        <v>864957.79754399997</v>
      </c>
      <c r="R26" s="262">
        <f t="shared" si="4"/>
        <v>171.21096546793348</v>
      </c>
    </row>
    <row r="27" spans="2:18" x14ac:dyDescent="0.2">
      <c r="B27" t="s">
        <v>49</v>
      </c>
      <c r="C27" s="48">
        <f t="shared" si="0"/>
        <v>11583747.808881</v>
      </c>
      <c r="D27" s="232">
        <v>6395594.3889809996</v>
      </c>
      <c r="E27" s="48">
        <v>5188153.4199000001</v>
      </c>
      <c r="F27" s="48">
        <f t="shared" si="1"/>
        <v>11583747.808881</v>
      </c>
      <c r="G27" s="232"/>
      <c r="H27" s="48"/>
      <c r="I27" s="48">
        <f t="shared" si="2"/>
        <v>0</v>
      </c>
      <c r="K27" s="52" t="s">
        <v>60</v>
      </c>
      <c r="L27" s="176">
        <v>3727236.1870640004</v>
      </c>
      <c r="M27" t="s">
        <v>49</v>
      </c>
      <c r="N27" s="248">
        <v>62776</v>
      </c>
      <c r="O27">
        <f t="shared" si="3"/>
        <v>59.373585240601507</v>
      </c>
      <c r="P27" t="s">
        <v>49</v>
      </c>
      <c r="Q27" s="48">
        <v>7590211.865348001</v>
      </c>
      <c r="R27" s="262">
        <f t="shared" si="4"/>
        <v>120.90945369803748</v>
      </c>
    </row>
    <row r="28" spans="2:18" x14ac:dyDescent="0.2">
      <c r="B28" s="52" t="s">
        <v>50</v>
      </c>
      <c r="C28" s="53">
        <f t="shared" si="0"/>
        <v>2617669.9602000001</v>
      </c>
      <c r="D28" s="238">
        <v>970648.26435000007</v>
      </c>
      <c r="E28" s="53">
        <v>1636005.2282999998</v>
      </c>
      <c r="F28" s="53">
        <f t="shared" si="1"/>
        <v>2606653.4926499999</v>
      </c>
      <c r="G28" s="238">
        <v>8926.2643499999995</v>
      </c>
      <c r="H28" s="53">
        <v>2090.2031999999999</v>
      </c>
      <c r="I28" s="53">
        <f t="shared" si="2"/>
        <v>11016.467549999999</v>
      </c>
      <c r="K28" s="52" t="s">
        <v>54</v>
      </c>
      <c r="L28" s="176">
        <v>3684812.1064999998</v>
      </c>
      <c r="M28" s="52" t="s">
        <v>50</v>
      </c>
      <c r="N28" s="248">
        <v>8929</v>
      </c>
      <c r="O28">
        <f t="shared" si="3"/>
        <v>412.6791473289282</v>
      </c>
      <c r="P28" s="52" t="s">
        <v>50</v>
      </c>
      <c r="Q28" s="53">
        <v>1240373.6534815002</v>
      </c>
      <c r="R28" s="262">
        <f t="shared" si="4"/>
        <v>138.91518126122747</v>
      </c>
    </row>
    <row r="29" spans="2:18" x14ac:dyDescent="0.2">
      <c r="B29" t="s">
        <v>51</v>
      </c>
      <c r="C29" s="48">
        <f t="shared" si="0"/>
        <v>12602421.738476999</v>
      </c>
      <c r="D29" s="232">
        <v>3004301.5787849994</v>
      </c>
      <c r="E29" s="48">
        <v>4082460.0421920004</v>
      </c>
      <c r="F29" s="48">
        <f t="shared" si="1"/>
        <v>7086761.6209769994</v>
      </c>
      <c r="G29" s="232">
        <v>4386001.7030999996</v>
      </c>
      <c r="H29" s="48">
        <v>1129658.4143999999</v>
      </c>
      <c r="I29" s="48">
        <f t="shared" si="2"/>
        <v>5515660.1174999997</v>
      </c>
      <c r="K29" s="52" t="s">
        <v>52</v>
      </c>
      <c r="L29" s="176">
        <v>3207228.8894694997</v>
      </c>
      <c r="M29" t="s">
        <v>51</v>
      </c>
      <c r="N29" s="248">
        <v>40692</v>
      </c>
      <c r="O29">
        <f t="shared" si="3"/>
        <v>78.817184937321827</v>
      </c>
      <c r="P29" t="s">
        <v>51</v>
      </c>
      <c r="Q29" s="48">
        <v>22905105.641509</v>
      </c>
      <c r="R29" s="262">
        <f t="shared" si="4"/>
        <v>562.88965009114816</v>
      </c>
    </row>
    <row r="30" spans="2:18" x14ac:dyDescent="0.2">
      <c r="B30" s="52" t="s">
        <v>52</v>
      </c>
      <c r="C30" s="53">
        <f t="shared" si="0"/>
        <v>7496225.0040120007</v>
      </c>
      <c r="D30" s="238">
        <v>2131275.248412</v>
      </c>
      <c r="E30" s="53">
        <v>5154428.7702000011</v>
      </c>
      <c r="F30" s="53">
        <f t="shared" si="1"/>
        <v>7285704.0186120011</v>
      </c>
      <c r="G30" s="238">
        <v>170492.65710000001</v>
      </c>
      <c r="H30" s="53">
        <v>40028.328300000001</v>
      </c>
      <c r="I30" s="53">
        <f t="shared" si="2"/>
        <v>210520.98540000001</v>
      </c>
      <c r="K30" t="s">
        <v>34</v>
      </c>
      <c r="L30" s="176">
        <v>2926624.5830860003</v>
      </c>
      <c r="M30" s="52" t="s">
        <v>52</v>
      </c>
      <c r="N30" s="248">
        <v>18889</v>
      </c>
      <c r="O30">
        <f t="shared" si="3"/>
        <v>154.93803711609934</v>
      </c>
      <c r="P30" s="52" t="s">
        <v>52</v>
      </c>
      <c r="Q30" s="53">
        <v>3207228.8894694997</v>
      </c>
      <c r="R30" s="262">
        <f t="shared" si="4"/>
        <v>169.79347183384508</v>
      </c>
    </row>
    <row r="31" spans="2:18" x14ac:dyDescent="0.2">
      <c r="B31" t="s">
        <v>53</v>
      </c>
      <c r="C31" s="48">
        <f t="shared" si="0"/>
        <v>30852525.845972002</v>
      </c>
      <c r="D31" s="232">
        <v>11542534.531972</v>
      </c>
      <c r="E31" s="48">
        <v>13738291.812500002</v>
      </c>
      <c r="F31" s="48">
        <f t="shared" si="1"/>
        <v>25280826.344472002</v>
      </c>
      <c r="G31" s="232">
        <v>4475585.2655000007</v>
      </c>
      <c r="H31" s="48">
        <v>1096114.236</v>
      </c>
      <c r="I31" s="48">
        <f t="shared" si="2"/>
        <v>5571699.5015000012</v>
      </c>
      <c r="K31" t="s">
        <v>57</v>
      </c>
      <c r="L31" s="176">
        <v>2694555.3779610004</v>
      </c>
      <c r="M31" t="s">
        <v>53</v>
      </c>
      <c r="N31" s="248">
        <v>122500</v>
      </c>
      <c r="O31">
        <f t="shared" si="3"/>
        <v>21.996370432334697</v>
      </c>
      <c r="P31" t="s">
        <v>53</v>
      </c>
      <c r="Q31" s="48">
        <v>35987210.645899996</v>
      </c>
      <c r="R31" s="262">
        <f t="shared" si="4"/>
        <v>293.77314812979591</v>
      </c>
    </row>
    <row r="32" spans="2:18" x14ac:dyDescent="0.2">
      <c r="B32" s="52" t="s">
        <v>54</v>
      </c>
      <c r="C32" s="53">
        <f t="shared" si="0"/>
        <v>5272087.5837360006</v>
      </c>
      <c r="D32" s="238">
        <v>2559628.970886</v>
      </c>
      <c r="E32" s="53">
        <v>2712458.6128500002</v>
      </c>
      <c r="F32" s="53">
        <f t="shared" si="1"/>
        <v>5272087.5837360006</v>
      </c>
      <c r="G32" s="238"/>
      <c r="H32" s="53"/>
      <c r="I32" s="53">
        <f t="shared" si="2"/>
        <v>0</v>
      </c>
      <c r="K32" s="52" t="s">
        <v>58</v>
      </c>
      <c r="L32" s="176">
        <v>2332529.4848700003</v>
      </c>
      <c r="M32" s="52" t="s">
        <v>54</v>
      </c>
      <c r="N32" s="248">
        <v>28558</v>
      </c>
      <c r="O32">
        <f t="shared" si="3"/>
        <v>81.676920122907774</v>
      </c>
      <c r="P32" s="52" t="s">
        <v>54</v>
      </c>
      <c r="Q32" s="53">
        <v>3684812.1064999998</v>
      </c>
      <c r="R32" s="262">
        <f t="shared" si="4"/>
        <v>129.02906738917289</v>
      </c>
    </row>
    <row r="33" spans="2:18" x14ac:dyDescent="0.2">
      <c r="B33" t="s">
        <v>55</v>
      </c>
      <c r="C33" s="48">
        <f t="shared" si="0"/>
        <v>32392051.088769998</v>
      </c>
      <c r="D33" s="232">
        <v>21851163.90667</v>
      </c>
      <c r="E33" s="48">
        <v>9314839.8854999989</v>
      </c>
      <c r="F33" s="48">
        <f t="shared" si="1"/>
        <v>31166003.792169999</v>
      </c>
      <c r="G33" s="232">
        <v>977464.65014999988</v>
      </c>
      <c r="H33" s="48">
        <v>248582.64645</v>
      </c>
      <c r="I33" s="48">
        <f t="shared" si="2"/>
        <v>1226047.2966</v>
      </c>
      <c r="K33" s="52" t="s">
        <v>42</v>
      </c>
      <c r="L33" s="176">
        <v>1603331.9942999999</v>
      </c>
      <c r="M33" t="s">
        <v>55</v>
      </c>
      <c r="N33" s="248">
        <v>122298</v>
      </c>
      <c r="O33">
        <f t="shared" si="3"/>
        <v>13.110042636020212</v>
      </c>
      <c r="P33" t="s">
        <v>55</v>
      </c>
      <c r="Q33" s="48">
        <v>18515693.079924002</v>
      </c>
      <c r="R33" s="262">
        <f t="shared" si="4"/>
        <v>151.39816742648287</v>
      </c>
    </row>
    <row r="34" spans="2:18" x14ac:dyDescent="0.2">
      <c r="B34" s="52" t="s">
        <v>56</v>
      </c>
      <c r="C34" s="53">
        <f t="shared" si="0"/>
        <v>57900124.957346998</v>
      </c>
      <c r="D34" s="238">
        <v>38634847.776755996</v>
      </c>
      <c r="E34" s="53">
        <v>19265277.180591002</v>
      </c>
      <c r="F34" s="53">
        <f t="shared" si="1"/>
        <v>57900124.957346998</v>
      </c>
      <c r="G34" s="238"/>
      <c r="H34" s="53"/>
      <c r="I34" s="53">
        <f t="shared" si="2"/>
        <v>0</v>
      </c>
      <c r="K34" t="s">
        <v>61</v>
      </c>
      <c r="L34" s="176">
        <v>1379080.1795059997</v>
      </c>
      <c r="M34" s="52" t="s">
        <v>56</v>
      </c>
      <c r="N34" s="248">
        <v>143937</v>
      </c>
      <c r="O34">
        <f t="shared" si="3"/>
        <v>9.5811374386432924</v>
      </c>
      <c r="P34" s="52" t="s">
        <v>56</v>
      </c>
      <c r="Q34" s="53">
        <v>42746324.385660008</v>
      </c>
      <c r="R34" s="262">
        <f t="shared" si="4"/>
        <v>296.97940338939958</v>
      </c>
    </row>
    <row r="35" spans="2:18" x14ac:dyDescent="0.2">
      <c r="B35" t="s">
        <v>57</v>
      </c>
      <c r="C35" s="48">
        <f t="shared" si="0"/>
        <v>3932957.7499290002</v>
      </c>
      <c r="D35" s="232">
        <v>2161672.648329</v>
      </c>
      <c r="E35" s="48">
        <v>1771285.1016000002</v>
      </c>
      <c r="F35" s="48">
        <f t="shared" si="1"/>
        <v>3932957.7499290002</v>
      </c>
      <c r="G35" s="232"/>
      <c r="H35" s="48"/>
      <c r="I35" s="48">
        <f t="shared" si="2"/>
        <v>0</v>
      </c>
      <c r="K35" s="52" t="s">
        <v>50</v>
      </c>
      <c r="L35" s="176">
        <v>1240373.6534815002</v>
      </c>
      <c r="M35" t="s">
        <v>57</v>
      </c>
      <c r="N35" s="248">
        <v>12437</v>
      </c>
      <c r="O35">
        <f t="shared" si="3"/>
        <v>99.732544301801099</v>
      </c>
      <c r="P35" t="s">
        <v>57</v>
      </c>
      <c r="Q35" s="48">
        <v>2694555.3779610004</v>
      </c>
      <c r="R35" s="262">
        <f t="shared" si="4"/>
        <v>216.65637838393508</v>
      </c>
    </row>
    <row r="36" spans="2:18" x14ac:dyDescent="0.2">
      <c r="B36" s="52" t="s">
        <v>58</v>
      </c>
      <c r="C36" s="53">
        <f t="shared" si="0"/>
        <v>3475455.6911240006</v>
      </c>
      <c r="D36" s="238">
        <v>1659371.9607740005</v>
      </c>
      <c r="E36" s="53">
        <v>1816083.7303499999</v>
      </c>
      <c r="F36" s="53">
        <f t="shared" si="1"/>
        <v>3475455.6911240006</v>
      </c>
      <c r="G36" s="238"/>
      <c r="H36" s="53"/>
      <c r="I36" s="53">
        <f t="shared" si="2"/>
        <v>0</v>
      </c>
      <c r="K36" t="s">
        <v>32</v>
      </c>
      <c r="L36" s="176">
        <v>1185616.2622529999</v>
      </c>
      <c r="M36" s="52" t="s">
        <v>58</v>
      </c>
      <c r="N36" s="248">
        <v>18180</v>
      </c>
      <c r="O36">
        <f t="shared" si="3"/>
        <v>65.215415965511554</v>
      </c>
      <c r="P36" s="52" t="s">
        <v>58</v>
      </c>
      <c r="Q36" s="53">
        <v>2332529.4848700003</v>
      </c>
      <c r="R36" s="262">
        <f t="shared" si="4"/>
        <v>128.30195186303632</v>
      </c>
    </row>
    <row r="37" spans="2:18" x14ac:dyDescent="0.2">
      <c r="B37" t="s">
        <v>59</v>
      </c>
      <c r="C37" s="48">
        <f t="shared" si="0"/>
        <v>13647154.5228</v>
      </c>
      <c r="D37" s="232">
        <v>6681659.1582000004</v>
      </c>
      <c r="E37" s="48">
        <v>6965495.3646</v>
      </c>
      <c r="F37" s="48">
        <f t="shared" si="1"/>
        <v>13647154.5228</v>
      </c>
      <c r="G37" s="232"/>
      <c r="H37" s="48"/>
      <c r="I37" s="48">
        <f t="shared" si="2"/>
        <v>0</v>
      </c>
      <c r="K37" s="52" t="s">
        <v>40</v>
      </c>
      <c r="L37" s="176">
        <v>1163194.6524479999</v>
      </c>
      <c r="M37" t="s">
        <v>59</v>
      </c>
      <c r="N37" s="248">
        <v>31546</v>
      </c>
      <c r="O37">
        <f t="shared" si="3"/>
        <v>36.872968124262975</v>
      </c>
      <c r="P37" t="s">
        <v>59</v>
      </c>
      <c r="Q37" s="48">
        <v>8787778.7235669997</v>
      </c>
      <c r="R37" s="262">
        <f t="shared" si="4"/>
        <v>278.57030126060357</v>
      </c>
    </row>
    <row r="38" spans="2:18" x14ac:dyDescent="0.2">
      <c r="B38" s="52" t="s">
        <v>60</v>
      </c>
      <c r="C38" s="53">
        <f t="shared" si="0"/>
        <v>5883601.4799000006</v>
      </c>
      <c r="D38" s="238">
        <v>2278920.2245500004</v>
      </c>
      <c r="E38" s="53">
        <v>3604681.2553500002</v>
      </c>
      <c r="F38" s="53">
        <f t="shared" si="1"/>
        <v>5883601.4799000006</v>
      </c>
      <c r="G38" s="238"/>
      <c r="H38" s="53"/>
      <c r="I38" s="53">
        <f t="shared" si="2"/>
        <v>0</v>
      </c>
      <c r="K38" s="52" t="s">
        <v>48</v>
      </c>
      <c r="L38" s="176">
        <v>864957.79754399997</v>
      </c>
      <c r="M38" s="52" t="s">
        <v>60</v>
      </c>
      <c r="N38" s="248">
        <v>16269</v>
      </c>
      <c r="O38">
        <f t="shared" si="3"/>
        <v>53.16600882316061</v>
      </c>
      <c r="P38" s="52" t="s">
        <v>60</v>
      </c>
      <c r="Q38" s="53">
        <v>3727236.1870640004</v>
      </c>
      <c r="R38" s="262">
        <f t="shared" si="4"/>
        <v>229.1005093775893</v>
      </c>
    </row>
    <row r="39" spans="2:18" x14ac:dyDescent="0.2">
      <c r="B39" t="s">
        <v>61</v>
      </c>
      <c r="C39" s="48">
        <f t="shared" si="0"/>
        <v>1519745.5730730002</v>
      </c>
      <c r="D39" s="232">
        <v>308045.00127299997</v>
      </c>
      <c r="E39" s="48">
        <v>1138263.8613000002</v>
      </c>
      <c r="F39" s="48">
        <f t="shared" si="1"/>
        <v>1446308.8625730001</v>
      </c>
      <c r="G39" s="232">
        <v>59690.025000000001</v>
      </c>
      <c r="H39" s="48">
        <v>13746.6855</v>
      </c>
      <c r="I39" s="48">
        <f t="shared" si="2"/>
        <v>73436.710500000001</v>
      </c>
      <c r="K39" t="s">
        <v>41</v>
      </c>
      <c r="L39" s="176">
        <v>793572.3648155001</v>
      </c>
      <c r="M39" t="s">
        <v>61</v>
      </c>
      <c r="N39" s="248">
        <v>3777</v>
      </c>
      <c r="O39">
        <f t="shared" si="3"/>
        <v>210.10653026621659</v>
      </c>
      <c r="P39" t="s">
        <v>61</v>
      </c>
      <c r="Q39" s="48">
        <v>1379080.1795059997</v>
      </c>
      <c r="R39" s="262">
        <f t="shared" si="4"/>
        <v>365.12580871220536</v>
      </c>
    </row>
    <row r="40" spans="2:18" x14ac:dyDescent="0.2">
      <c r="B40" s="52" t="s">
        <v>62</v>
      </c>
      <c r="C40" s="53">
        <f t="shared" si="0"/>
        <v>14777414.236199999</v>
      </c>
      <c r="D40" s="238">
        <v>8539975.5245999992</v>
      </c>
      <c r="E40" s="53">
        <v>6237438.7116</v>
      </c>
      <c r="F40" s="53">
        <f t="shared" si="1"/>
        <v>14777414.236199999</v>
      </c>
      <c r="G40" s="238"/>
      <c r="H40" s="53"/>
      <c r="I40" s="53">
        <f t="shared" si="2"/>
        <v>0</v>
      </c>
      <c r="K40" s="52" t="s">
        <v>67</v>
      </c>
      <c r="L40" s="176">
        <v>589491.53411999997</v>
      </c>
      <c r="M40" s="52" t="s">
        <v>62</v>
      </c>
      <c r="N40" s="248">
        <v>72207</v>
      </c>
      <c r="O40">
        <f t="shared" si="3"/>
        <v>8.1639111737089198</v>
      </c>
      <c r="P40" s="52" t="s">
        <v>62</v>
      </c>
      <c r="Q40" s="53">
        <v>9414489.8172239996</v>
      </c>
      <c r="R40" s="262">
        <f t="shared" si="4"/>
        <v>130.38195489667206</v>
      </c>
    </row>
    <row r="41" spans="2:18" ht="13.5" thickBot="1" x14ac:dyDescent="0.25">
      <c r="B41" s="47" t="s">
        <v>63</v>
      </c>
      <c r="C41" s="233">
        <f>SUM(C8:C40)</f>
        <v>740634816.24999583</v>
      </c>
      <c r="D41" s="234">
        <f t="shared" ref="D41:I41" si="5">SUM(D8:D40)</f>
        <v>296959750.59712505</v>
      </c>
      <c r="E41" s="233">
        <f t="shared" si="5"/>
        <v>227902727.32727101</v>
      </c>
      <c r="F41" s="233">
        <f t="shared" si="5"/>
        <v>524862477.92439598</v>
      </c>
      <c r="G41" s="234">
        <f t="shared" si="5"/>
        <v>173448162.43564999</v>
      </c>
      <c r="H41" s="233">
        <f t="shared" si="5"/>
        <v>42324175.88995</v>
      </c>
      <c r="I41" s="233">
        <f t="shared" si="5"/>
        <v>215772338.32560006</v>
      </c>
      <c r="L41" s="46"/>
    </row>
    <row r="42" spans="2:18" x14ac:dyDescent="0.2">
      <c r="B42" t="s">
        <v>423</v>
      </c>
      <c r="C42" s="235"/>
      <c r="D42" s="235"/>
      <c r="E42" s="235"/>
      <c r="F42" s="235"/>
      <c r="G42" s="235"/>
      <c r="H42" s="235"/>
      <c r="L42" s="176">
        <v>429553308.26394063</v>
      </c>
    </row>
    <row r="44" spans="2:18" x14ac:dyDescent="0.2">
      <c r="B44" s="7" t="s">
        <v>508</v>
      </c>
      <c r="C44" s="7"/>
      <c r="D44" s="7"/>
      <c r="E44" s="7"/>
      <c r="F44" s="7"/>
      <c r="G44" s="7"/>
      <c r="H44" s="7" t="str">
        <f>E2</f>
        <v>2022 Tax Year</v>
      </c>
      <c r="I44" s="7"/>
    </row>
    <row r="45" spans="2:18" ht="6.75" customHeight="1" x14ac:dyDescent="0.25">
      <c r="B45" s="74"/>
      <c r="C45" s="7"/>
      <c r="D45" s="7"/>
      <c r="E45" s="7"/>
      <c r="F45" s="7"/>
      <c r="G45" s="7"/>
      <c r="H45" s="7"/>
      <c r="I45" s="7"/>
    </row>
    <row r="46" spans="2:18" x14ac:dyDescent="0.2">
      <c r="C46" s="46"/>
      <c r="D46" s="129"/>
      <c r="E46" s="177"/>
      <c r="F46" s="177"/>
      <c r="G46" s="129" t="s">
        <v>4</v>
      </c>
      <c r="H46" s="177"/>
      <c r="I46" s="177"/>
    </row>
    <row r="47" spans="2:18" ht="13.5" thickBot="1" x14ac:dyDescent="0.25">
      <c r="B47" s="47" t="s">
        <v>27</v>
      </c>
      <c r="C47" s="229" t="s">
        <v>8</v>
      </c>
      <c r="D47" s="230" t="s">
        <v>9</v>
      </c>
      <c r="E47" s="68" t="s">
        <v>28</v>
      </c>
      <c r="F47" s="68" t="s">
        <v>29</v>
      </c>
      <c r="G47" s="231" t="s">
        <v>30</v>
      </c>
      <c r="H47" s="178" t="s">
        <v>10</v>
      </c>
      <c r="I47" s="178" t="s">
        <v>29</v>
      </c>
      <c r="O47" s="52" t="s">
        <v>56</v>
      </c>
      <c r="P47" s="176">
        <v>12804555.549797907</v>
      </c>
    </row>
    <row r="48" spans="2:18" x14ac:dyDescent="0.2">
      <c r="B48" s="52" t="s">
        <v>31</v>
      </c>
      <c r="C48" s="53">
        <f>F48+I48</f>
        <v>24249468.129936002</v>
      </c>
      <c r="D48" s="238">
        <v>19190645.161632001</v>
      </c>
      <c r="E48" s="53">
        <v>5058822.9683039999</v>
      </c>
      <c r="F48" s="53">
        <f>SUM(D48:E48)</f>
        <v>24249468.129936002</v>
      </c>
      <c r="G48" s="238"/>
      <c r="H48" s="53"/>
      <c r="I48" s="53">
        <f>SUM(G48:H48)</f>
        <v>0</v>
      </c>
      <c r="K48" s="52" t="s">
        <v>31</v>
      </c>
      <c r="L48" s="176">
        <v>12603346.220959999</v>
      </c>
      <c r="O48" s="52" t="s">
        <v>31</v>
      </c>
      <c r="P48" s="176">
        <v>12603346.220959999</v>
      </c>
    </row>
    <row r="49" spans="2:16" x14ac:dyDescent="0.2">
      <c r="B49" t="s">
        <v>32</v>
      </c>
      <c r="C49" s="48">
        <f t="shared" ref="C49:C80" si="6">F49+I49</f>
        <v>0</v>
      </c>
      <c r="D49" s="232">
        <v>0</v>
      </c>
      <c r="E49" s="48">
        <v>0</v>
      </c>
      <c r="F49" s="48">
        <f t="shared" ref="F49:F80" si="7">SUM(D49:E49)</f>
        <v>0</v>
      </c>
      <c r="G49" s="232"/>
      <c r="H49" s="48"/>
      <c r="I49" s="48">
        <f t="shared" ref="I49:I80" si="8">SUM(G49:H49)</f>
        <v>0</v>
      </c>
      <c r="K49" t="s">
        <v>32</v>
      </c>
      <c r="L49" s="176">
        <v>0</v>
      </c>
      <c r="O49" t="s">
        <v>55</v>
      </c>
      <c r="P49" s="176">
        <v>2228173.3417690597</v>
      </c>
    </row>
    <row r="50" spans="2:16" x14ac:dyDescent="0.2">
      <c r="B50" s="52" t="s">
        <v>33</v>
      </c>
      <c r="C50" s="53">
        <f t="shared" si="6"/>
        <v>0</v>
      </c>
      <c r="D50" s="238">
        <v>0</v>
      </c>
      <c r="E50" s="53">
        <v>0</v>
      </c>
      <c r="F50" s="53">
        <f t="shared" si="7"/>
        <v>0</v>
      </c>
      <c r="G50" s="238"/>
      <c r="H50" s="53"/>
      <c r="I50" s="53">
        <f t="shared" si="8"/>
        <v>0</v>
      </c>
      <c r="K50" s="52" t="s">
        <v>33</v>
      </c>
      <c r="L50" s="176">
        <v>0</v>
      </c>
      <c r="O50" t="s">
        <v>39</v>
      </c>
      <c r="P50" s="176">
        <v>1091780.1211108791</v>
      </c>
    </row>
    <row r="51" spans="2:16" x14ac:dyDescent="0.2">
      <c r="B51" t="s">
        <v>34</v>
      </c>
      <c r="C51" s="48">
        <f t="shared" si="6"/>
        <v>0</v>
      </c>
      <c r="D51" s="232">
        <v>0</v>
      </c>
      <c r="E51" s="48">
        <v>0</v>
      </c>
      <c r="F51" s="48">
        <f t="shared" si="7"/>
        <v>0</v>
      </c>
      <c r="G51" s="232"/>
      <c r="H51" s="48"/>
      <c r="I51" s="48">
        <f t="shared" si="8"/>
        <v>0</v>
      </c>
      <c r="K51" t="s">
        <v>34</v>
      </c>
      <c r="L51" s="176">
        <v>0</v>
      </c>
      <c r="O51" s="52" t="s">
        <v>62</v>
      </c>
      <c r="P51" s="176">
        <v>951430.13065646926</v>
      </c>
    </row>
    <row r="52" spans="2:16" x14ac:dyDescent="0.2">
      <c r="B52" s="52" t="s">
        <v>35</v>
      </c>
      <c r="C52" s="53">
        <f t="shared" si="6"/>
        <v>0</v>
      </c>
      <c r="D52" s="238">
        <v>0</v>
      </c>
      <c r="E52" s="53">
        <v>0</v>
      </c>
      <c r="F52" s="53">
        <f t="shared" si="7"/>
        <v>0</v>
      </c>
      <c r="G52" s="238"/>
      <c r="H52" s="53"/>
      <c r="I52" s="53">
        <f t="shared" si="8"/>
        <v>0</v>
      </c>
      <c r="K52" s="52" t="s">
        <v>35</v>
      </c>
      <c r="L52" s="176">
        <v>0</v>
      </c>
      <c r="O52" t="s">
        <v>37</v>
      </c>
      <c r="P52" s="176">
        <v>549701.13554247958</v>
      </c>
    </row>
    <row r="53" spans="2:16" x14ac:dyDescent="0.2">
      <c r="B53" t="s">
        <v>36</v>
      </c>
      <c r="C53" s="48">
        <f t="shared" si="6"/>
        <v>0</v>
      </c>
      <c r="D53" s="232">
        <v>0</v>
      </c>
      <c r="E53" s="48">
        <v>0</v>
      </c>
      <c r="F53" s="48">
        <f t="shared" si="7"/>
        <v>0</v>
      </c>
      <c r="G53" s="232"/>
      <c r="H53" s="48"/>
      <c r="I53" s="48">
        <f t="shared" si="8"/>
        <v>0</v>
      </c>
      <c r="K53" t="s">
        <v>36</v>
      </c>
      <c r="L53" s="176">
        <v>542166.98332277825</v>
      </c>
      <c r="O53" t="s">
        <v>36</v>
      </c>
      <c r="P53" s="176">
        <v>542166.98332277825</v>
      </c>
    </row>
    <row r="54" spans="2:16" x14ac:dyDescent="0.2">
      <c r="B54" s="52" t="s">
        <v>67</v>
      </c>
      <c r="C54" s="53">
        <f t="shared" si="6"/>
        <v>0</v>
      </c>
      <c r="D54" s="238">
        <v>0</v>
      </c>
      <c r="E54" s="53">
        <v>0</v>
      </c>
      <c r="F54" s="53">
        <f t="shared" si="7"/>
        <v>0</v>
      </c>
      <c r="G54" s="238"/>
      <c r="H54" s="53"/>
      <c r="I54" s="53">
        <f t="shared" si="8"/>
        <v>0</v>
      </c>
      <c r="K54" s="52" t="s">
        <v>67</v>
      </c>
      <c r="L54" s="176">
        <v>0</v>
      </c>
      <c r="O54" s="52" t="s">
        <v>58</v>
      </c>
      <c r="P54" s="176">
        <v>498021.1</v>
      </c>
    </row>
    <row r="55" spans="2:16" x14ac:dyDescent="0.2">
      <c r="B55" t="s">
        <v>37</v>
      </c>
      <c r="C55" s="48">
        <f t="shared" si="6"/>
        <v>474065.13345100003</v>
      </c>
      <c r="D55" s="232">
        <v>344583.69181600004</v>
      </c>
      <c r="E55" s="48">
        <v>129481.441635</v>
      </c>
      <c r="F55" s="48">
        <f t="shared" si="7"/>
        <v>474065.13345100003</v>
      </c>
      <c r="G55" s="232"/>
      <c r="H55" s="48"/>
      <c r="I55" s="48">
        <f t="shared" si="8"/>
        <v>0</v>
      </c>
      <c r="K55" t="s">
        <v>37</v>
      </c>
      <c r="L55" s="176">
        <v>549701.13554247958</v>
      </c>
      <c r="O55" s="52" t="s">
        <v>60</v>
      </c>
      <c r="P55" s="176">
        <v>332835.67741935485</v>
      </c>
    </row>
    <row r="56" spans="2:16" x14ac:dyDescent="0.2">
      <c r="B56" s="52" t="s">
        <v>38</v>
      </c>
      <c r="C56" s="53">
        <f t="shared" si="6"/>
        <v>0</v>
      </c>
      <c r="D56" s="238">
        <v>0</v>
      </c>
      <c r="E56" s="53">
        <v>0</v>
      </c>
      <c r="F56" s="53">
        <f t="shared" si="7"/>
        <v>0</v>
      </c>
      <c r="G56" s="238">
        <v>0</v>
      </c>
      <c r="H56" s="53">
        <v>0</v>
      </c>
      <c r="I56" s="53">
        <f t="shared" si="8"/>
        <v>0</v>
      </c>
      <c r="K56" s="52" t="s">
        <v>38</v>
      </c>
      <c r="L56" s="176">
        <v>0</v>
      </c>
      <c r="O56" s="52" t="s">
        <v>48</v>
      </c>
      <c r="P56" s="176">
        <v>162281.17158092847</v>
      </c>
    </row>
    <row r="57" spans="2:16" x14ac:dyDescent="0.2">
      <c r="B57" t="s">
        <v>39</v>
      </c>
      <c r="C57" s="48">
        <f t="shared" si="6"/>
        <v>931033.87128100009</v>
      </c>
      <c r="D57" s="232">
        <v>537738.30262500001</v>
      </c>
      <c r="E57" s="48">
        <v>243185.95770200001</v>
      </c>
      <c r="F57" s="48">
        <f t="shared" si="7"/>
        <v>780924.26032700005</v>
      </c>
      <c r="G57" s="232">
        <v>150109.610954</v>
      </c>
      <c r="H57" s="48"/>
      <c r="I57" s="48">
        <f t="shared" si="8"/>
        <v>150109.610954</v>
      </c>
      <c r="K57" t="s">
        <v>39</v>
      </c>
      <c r="L57" s="176">
        <v>1091780.1211108791</v>
      </c>
      <c r="O57" t="s">
        <v>32</v>
      </c>
      <c r="P57" s="176">
        <v>0</v>
      </c>
    </row>
    <row r="58" spans="2:16" x14ac:dyDescent="0.2">
      <c r="B58" s="52" t="s">
        <v>40</v>
      </c>
      <c r="C58" s="53">
        <f t="shared" si="6"/>
        <v>0</v>
      </c>
      <c r="D58" s="238">
        <v>0</v>
      </c>
      <c r="E58" s="53">
        <v>0</v>
      </c>
      <c r="F58" s="53">
        <f t="shared" si="7"/>
        <v>0</v>
      </c>
      <c r="G58" s="238"/>
      <c r="H58" s="53"/>
      <c r="I58" s="53">
        <f t="shared" si="8"/>
        <v>0</v>
      </c>
      <c r="K58" s="52" t="s">
        <v>40</v>
      </c>
      <c r="L58" s="176">
        <v>0</v>
      </c>
      <c r="O58" s="52" t="s">
        <v>33</v>
      </c>
      <c r="P58" s="176">
        <v>0</v>
      </c>
    </row>
    <row r="59" spans="2:16" x14ac:dyDescent="0.2">
      <c r="B59" t="s">
        <v>41</v>
      </c>
      <c r="C59" s="48">
        <f t="shared" si="6"/>
        <v>0</v>
      </c>
      <c r="D59" s="232">
        <v>0</v>
      </c>
      <c r="E59" s="48">
        <v>0</v>
      </c>
      <c r="F59" s="48">
        <f t="shared" si="7"/>
        <v>0</v>
      </c>
      <c r="G59" s="232">
        <v>0</v>
      </c>
      <c r="H59" s="48">
        <v>0</v>
      </c>
      <c r="I59" s="48">
        <f t="shared" si="8"/>
        <v>0</v>
      </c>
      <c r="K59" t="s">
        <v>41</v>
      </c>
      <c r="L59" s="176">
        <v>0</v>
      </c>
      <c r="O59" t="s">
        <v>34</v>
      </c>
      <c r="P59" s="176">
        <v>0</v>
      </c>
    </row>
    <row r="60" spans="2:16" x14ac:dyDescent="0.2">
      <c r="B60" s="52" t="s">
        <v>42</v>
      </c>
      <c r="C60" s="53">
        <f t="shared" si="6"/>
        <v>0</v>
      </c>
      <c r="D60" s="238">
        <v>0</v>
      </c>
      <c r="E60" s="53">
        <v>0</v>
      </c>
      <c r="F60" s="53">
        <f t="shared" si="7"/>
        <v>0</v>
      </c>
      <c r="G60" s="238"/>
      <c r="H60" s="53"/>
      <c r="I60" s="53">
        <f t="shared" si="8"/>
        <v>0</v>
      </c>
      <c r="K60" s="52" t="s">
        <v>42</v>
      </c>
      <c r="L60" s="176">
        <v>0</v>
      </c>
      <c r="O60" s="52" t="s">
        <v>35</v>
      </c>
      <c r="P60" s="176">
        <v>0</v>
      </c>
    </row>
    <row r="61" spans="2:16" x14ac:dyDescent="0.2">
      <c r="B61" t="s">
        <v>43</v>
      </c>
      <c r="C61" s="48">
        <f t="shared" si="6"/>
        <v>0</v>
      </c>
      <c r="D61" s="232">
        <v>0</v>
      </c>
      <c r="E61" s="48">
        <v>0</v>
      </c>
      <c r="F61" s="48">
        <f t="shared" si="7"/>
        <v>0</v>
      </c>
      <c r="G61" s="232">
        <v>0</v>
      </c>
      <c r="H61" s="48">
        <v>0</v>
      </c>
      <c r="I61" s="48">
        <f t="shared" si="8"/>
        <v>0</v>
      </c>
      <c r="K61" t="s">
        <v>43</v>
      </c>
      <c r="L61" s="176">
        <v>0</v>
      </c>
      <c r="O61" s="52" t="s">
        <v>67</v>
      </c>
      <c r="P61" s="176">
        <v>0</v>
      </c>
    </row>
    <row r="62" spans="2:16" x14ac:dyDescent="0.2">
      <c r="B62" s="52" t="s">
        <v>44</v>
      </c>
      <c r="C62" s="53">
        <f t="shared" si="6"/>
        <v>0</v>
      </c>
      <c r="D62" s="238">
        <v>0</v>
      </c>
      <c r="E62" s="53">
        <v>0</v>
      </c>
      <c r="F62" s="53">
        <f t="shared" si="7"/>
        <v>0</v>
      </c>
      <c r="G62" s="238"/>
      <c r="H62" s="53"/>
      <c r="I62" s="53">
        <f t="shared" si="8"/>
        <v>0</v>
      </c>
      <c r="K62" s="52" t="s">
        <v>44</v>
      </c>
      <c r="L62" s="176">
        <v>0</v>
      </c>
      <c r="O62" s="52" t="s">
        <v>38</v>
      </c>
      <c r="P62" s="176">
        <v>0</v>
      </c>
    </row>
    <row r="63" spans="2:16" x14ac:dyDescent="0.2">
      <c r="B63" t="s">
        <v>45</v>
      </c>
      <c r="C63" s="48">
        <f t="shared" si="6"/>
        <v>0</v>
      </c>
      <c r="D63" s="232">
        <v>0</v>
      </c>
      <c r="E63" s="48">
        <v>0</v>
      </c>
      <c r="F63" s="48">
        <f t="shared" si="7"/>
        <v>0</v>
      </c>
      <c r="G63" s="232"/>
      <c r="H63" s="48"/>
      <c r="I63" s="48">
        <f t="shared" si="8"/>
        <v>0</v>
      </c>
      <c r="K63" t="s">
        <v>45</v>
      </c>
      <c r="L63" s="176">
        <v>0</v>
      </c>
      <c r="O63" s="52" t="s">
        <v>40</v>
      </c>
      <c r="P63" s="176">
        <v>0</v>
      </c>
    </row>
    <row r="64" spans="2:16" x14ac:dyDescent="0.2">
      <c r="B64" s="52" t="s">
        <v>46</v>
      </c>
      <c r="C64" s="53">
        <f t="shared" si="6"/>
        <v>0</v>
      </c>
      <c r="D64" s="238">
        <v>0</v>
      </c>
      <c r="E64" s="53">
        <v>0</v>
      </c>
      <c r="F64" s="53">
        <f t="shared" si="7"/>
        <v>0</v>
      </c>
      <c r="G64" s="238"/>
      <c r="H64" s="53"/>
      <c r="I64" s="53">
        <f t="shared" si="8"/>
        <v>0</v>
      </c>
      <c r="K64" s="52" t="s">
        <v>46</v>
      </c>
      <c r="L64" s="176">
        <v>0</v>
      </c>
      <c r="O64" t="s">
        <v>41</v>
      </c>
      <c r="P64" s="176">
        <v>0</v>
      </c>
    </row>
    <row r="65" spans="2:16" x14ac:dyDescent="0.2">
      <c r="B65" t="s">
        <v>47</v>
      </c>
      <c r="C65" s="48">
        <f t="shared" si="6"/>
        <v>0</v>
      </c>
      <c r="D65" s="232">
        <v>0</v>
      </c>
      <c r="E65" s="48">
        <v>0</v>
      </c>
      <c r="F65" s="48">
        <f t="shared" si="7"/>
        <v>0</v>
      </c>
      <c r="G65" s="232">
        <v>0</v>
      </c>
      <c r="H65" s="48">
        <v>0</v>
      </c>
      <c r="I65" s="48">
        <f t="shared" si="8"/>
        <v>0</v>
      </c>
      <c r="K65" t="s">
        <v>47</v>
      </c>
      <c r="L65" s="176">
        <v>0</v>
      </c>
      <c r="O65" s="52" t="s">
        <v>42</v>
      </c>
      <c r="P65" s="176">
        <v>0</v>
      </c>
    </row>
    <row r="66" spans="2:16" x14ac:dyDescent="0.2">
      <c r="B66" s="52" t="s">
        <v>48</v>
      </c>
      <c r="C66" s="53">
        <f t="shared" si="6"/>
        <v>284527.88768599997</v>
      </c>
      <c r="D66" s="238">
        <v>154544.47410599998</v>
      </c>
      <c r="E66" s="53">
        <v>129983.41357999999</v>
      </c>
      <c r="F66" s="53">
        <f t="shared" si="7"/>
        <v>284527.88768599997</v>
      </c>
      <c r="G66" s="238"/>
      <c r="H66" s="53"/>
      <c r="I66" s="53">
        <f t="shared" si="8"/>
        <v>0</v>
      </c>
      <c r="K66" s="52" t="s">
        <v>48</v>
      </c>
      <c r="L66" s="176">
        <v>162281.17158092847</v>
      </c>
      <c r="O66" t="s">
        <v>43</v>
      </c>
      <c r="P66" s="176">
        <v>0</v>
      </c>
    </row>
    <row r="67" spans="2:16" x14ac:dyDescent="0.2">
      <c r="B67" t="s">
        <v>49</v>
      </c>
      <c r="C67" s="48">
        <f t="shared" si="6"/>
        <v>0</v>
      </c>
      <c r="D67" s="232">
        <v>0</v>
      </c>
      <c r="E67" s="48">
        <v>0</v>
      </c>
      <c r="F67" s="48">
        <f t="shared" si="7"/>
        <v>0</v>
      </c>
      <c r="G67" s="232"/>
      <c r="H67" s="48"/>
      <c r="I67" s="48">
        <f t="shared" si="8"/>
        <v>0</v>
      </c>
      <c r="K67" t="s">
        <v>49</v>
      </c>
      <c r="L67" s="176">
        <v>0</v>
      </c>
      <c r="O67" s="52" t="s">
        <v>44</v>
      </c>
      <c r="P67" s="176">
        <v>0</v>
      </c>
    </row>
    <row r="68" spans="2:16" x14ac:dyDescent="0.2">
      <c r="B68" s="52" t="s">
        <v>50</v>
      </c>
      <c r="C68" s="53">
        <f t="shared" si="6"/>
        <v>0</v>
      </c>
      <c r="D68" s="238">
        <v>0</v>
      </c>
      <c r="E68" s="53">
        <v>0</v>
      </c>
      <c r="F68" s="53">
        <f t="shared" si="7"/>
        <v>0</v>
      </c>
      <c r="G68" s="238">
        <v>0</v>
      </c>
      <c r="H68" s="53">
        <v>0</v>
      </c>
      <c r="I68" s="53">
        <f t="shared" si="8"/>
        <v>0</v>
      </c>
      <c r="K68" s="52" t="s">
        <v>50</v>
      </c>
      <c r="L68" s="176">
        <v>0</v>
      </c>
      <c r="O68" t="s">
        <v>45</v>
      </c>
      <c r="P68" s="176">
        <v>0</v>
      </c>
    </row>
    <row r="69" spans="2:16" x14ac:dyDescent="0.2">
      <c r="B69" t="s">
        <v>51</v>
      </c>
      <c r="C69" s="48">
        <f t="shared" si="6"/>
        <v>4342203.925818</v>
      </c>
      <c r="D69" s="232">
        <v>1780452.9469739997</v>
      </c>
      <c r="E69" s="48">
        <v>1101148.324944</v>
      </c>
      <c r="F69" s="48">
        <f t="shared" si="7"/>
        <v>2881601.2719179997</v>
      </c>
      <c r="G69" s="232">
        <v>1161457.666188</v>
      </c>
      <c r="H69" s="48">
        <v>299144.98771199997</v>
      </c>
      <c r="I69" s="48">
        <f t="shared" si="8"/>
        <v>1460602.6539</v>
      </c>
      <c r="K69" t="s">
        <v>51</v>
      </c>
      <c r="L69" s="176">
        <v>0</v>
      </c>
      <c r="O69" s="52" t="s">
        <v>46</v>
      </c>
      <c r="P69" s="176">
        <v>0</v>
      </c>
    </row>
    <row r="70" spans="2:16" x14ac:dyDescent="0.2">
      <c r="B70" s="52" t="s">
        <v>52</v>
      </c>
      <c r="C70" s="53">
        <f t="shared" si="6"/>
        <v>0</v>
      </c>
      <c r="D70" s="238">
        <v>0</v>
      </c>
      <c r="E70" s="53">
        <v>0</v>
      </c>
      <c r="F70" s="53">
        <f t="shared" si="7"/>
        <v>0</v>
      </c>
      <c r="G70" s="238">
        <v>0</v>
      </c>
      <c r="H70" s="53">
        <v>0</v>
      </c>
      <c r="I70" s="53">
        <f t="shared" si="8"/>
        <v>0</v>
      </c>
      <c r="K70" s="52" t="s">
        <v>52</v>
      </c>
      <c r="L70" s="176">
        <v>0</v>
      </c>
      <c r="O70" t="s">
        <v>47</v>
      </c>
      <c r="P70" s="176">
        <v>0</v>
      </c>
    </row>
    <row r="71" spans="2:16" x14ac:dyDescent="0.2">
      <c r="B71" t="s">
        <v>53</v>
      </c>
      <c r="C71" s="48">
        <f t="shared" si="6"/>
        <v>0</v>
      </c>
      <c r="D71" s="232">
        <v>0</v>
      </c>
      <c r="E71" s="48">
        <v>0</v>
      </c>
      <c r="F71" s="48">
        <f t="shared" si="7"/>
        <v>0</v>
      </c>
      <c r="G71" s="232">
        <v>0</v>
      </c>
      <c r="H71" s="48">
        <v>0</v>
      </c>
      <c r="I71" s="48">
        <f t="shared" si="8"/>
        <v>0</v>
      </c>
      <c r="K71" t="s">
        <v>53</v>
      </c>
      <c r="L71" s="176">
        <v>0</v>
      </c>
      <c r="O71" t="s">
        <v>49</v>
      </c>
      <c r="P71" s="176">
        <v>0</v>
      </c>
    </row>
    <row r="72" spans="2:16" x14ac:dyDescent="0.2">
      <c r="B72" s="52" t="s">
        <v>54</v>
      </c>
      <c r="C72" s="53">
        <f t="shared" si="6"/>
        <v>0</v>
      </c>
      <c r="D72" s="238">
        <v>0</v>
      </c>
      <c r="E72" s="53">
        <v>0</v>
      </c>
      <c r="F72" s="53">
        <f t="shared" si="7"/>
        <v>0</v>
      </c>
      <c r="G72" s="238"/>
      <c r="H72" s="53"/>
      <c r="I72" s="53">
        <f t="shared" si="8"/>
        <v>0</v>
      </c>
      <c r="K72" s="52" t="s">
        <v>54</v>
      </c>
      <c r="L72" s="176">
        <v>0</v>
      </c>
      <c r="O72" s="52" t="s">
        <v>50</v>
      </c>
      <c r="P72" s="176">
        <v>0</v>
      </c>
    </row>
    <row r="73" spans="2:16" x14ac:dyDescent="0.2">
      <c r="B73" t="s">
        <v>55</v>
      </c>
      <c r="C73" s="48">
        <f t="shared" si="6"/>
        <v>3392023.614081</v>
      </c>
      <c r="D73" s="232">
        <v>2637024.4750790005</v>
      </c>
      <c r="E73" s="48">
        <v>667339.71876199986</v>
      </c>
      <c r="F73" s="48">
        <f t="shared" si="7"/>
        <v>3304364.1938410001</v>
      </c>
      <c r="G73" s="232">
        <v>69886.36146</v>
      </c>
      <c r="H73" s="48">
        <v>17773.058779999999</v>
      </c>
      <c r="I73" s="48">
        <f t="shared" si="8"/>
        <v>87659.420240000007</v>
      </c>
      <c r="K73" t="s">
        <v>55</v>
      </c>
      <c r="L73" s="176">
        <v>2228173.3417690597</v>
      </c>
      <c r="O73" t="s">
        <v>51</v>
      </c>
      <c r="P73" s="176">
        <v>0</v>
      </c>
    </row>
    <row r="74" spans="2:16" x14ac:dyDescent="0.2">
      <c r="B74" s="52" t="s">
        <v>56</v>
      </c>
      <c r="C74" s="53">
        <f t="shared" si="6"/>
        <v>18572919.939036001</v>
      </c>
      <c r="D74" s="238">
        <v>14963606.250516001</v>
      </c>
      <c r="E74" s="53">
        <v>3609313.6885200003</v>
      </c>
      <c r="F74" s="53">
        <f t="shared" si="7"/>
        <v>18572919.939036001</v>
      </c>
      <c r="G74" s="238"/>
      <c r="H74" s="53"/>
      <c r="I74" s="53">
        <f t="shared" si="8"/>
        <v>0</v>
      </c>
      <c r="K74" s="52" t="s">
        <v>56</v>
      </c>
      <c r="L74" s="176">
        <v>12804555.549797907</v>
      </c>
      <c r="O74" s="52" t="s">
        <v>52</v>
      </c>
      <c r="P74" s="176">
        <v>0</v>
      </c>
    </row>
    <row r="75" spans="2:16" x14ac:dyDescent="0.2">
      <c r="B75" t="s">
        <v>57</v>
      </c>
      <c r="C75" s="48">
        <f t="shared" si="6"/>
        <v>0</v>
      </c>
      <c r="D75" s="232">
        <v>0</v>
      </c>
      <c r="E75" s="48">
        <v>0</v>
      </c>
      <c r="F75" s="48">
        <f t="shared" si="7"/>
        <v>0</v>
      </c>
      <c r="G75" s="232"/>
      <c r="H75" s="48"/>
      <c r="I75" s="48">
        <f t="shared" si="8"/>
        <v>0</v>
      </c>
      <c r="K75" t="s">
        <v>57</v>
      </c>
      <c r="L75" s="176">
        <v>0</v>
      </c>
      <c r="O75" t="s">
        <v>53</v>
      </c>
      <c r="P75" s="176">
        <v>0</v>
      </c>
    </row>
    <row r="76" spans="2:16" x14ac:dyDescent="0.2">
      <c r="B76" s="52" t="s">
        <v>58</v>
      </c>
      <c r="C76" s="53">
        <f t="shared" si="6"/>
        <v>608754.81037999992</v>
      </c>
      <c r="D76" s="238">
        <v>318334.66953499999</v>
      </c>
      <c r="E76" s="53">
        <v>290420.14084499999</v>
      </c>
      <c r="F76" s="62">
        <f t="shared" si="7"/>
        <v>608754.81037999992</v>
      </c>
      <c r="G76" s="53"/>
      <c r="H76" s="53"/>
      <c r="I76" s="53">
        <f t="shared" si="8"/>
        <v>0</v>
      </c>
      <c r="K76" s="52" t="s">
        <v>58</v>
      </c>
      <c r="L76" s="176">
        <v>498021.1</v>
      </c>
      <c r="O76" s="52" t="s">
        <v>54</v>
      </c>
      <c r="P76" s="176">
        <v>0</v>
      </c>
    </row>
    <row r="77" spans="2:16" x14ac:dyDescent="0.2">
      <c r="B77" t="s">
        <v>59</v>
      </c>
      <c r="C77" s="48">
        <f t="shared" si="6"/>
        <v>0</v>
      </c>
      <c r="D77" s="232">
        <v>0</v>
      </c>
      <c r="E77" s="48">
        <v>0</v>
      </c>
      <c r="F77" s="236">
        <f t="shared" si="7"/>
        <v>0</v>
      </c>
      <c r="G77" s="48"/>
      <c r="H77" s="48"/>
      <c r="I77" s="48">
        <f t="shared" si="8"/>
        <v>0</v>
      </c>
      <c r="K77" t="s">
        <v>59</v>
      </c>
      <c r="L77" s="176">
        <v>0</v>
      </c>
      <c r="O77" t="s">
        <v>57</v>
      </c>
      <c r="P77" s="176">
        <v>0</v>
      </c>
    </row>
    <row r="78" spans="2:16" x14ac:dyDescent="0.2">
      <c r="B78" s="52" t="s">
        <v>60</v>
      </c>
      <c r="C78" s="53">
        <f t="shared" si="6"/>
        <v>90364.174628000008</v>
      </c>
      <c r="D78" s="238">
        <v>35001.137626000003</v>
      </c>
      <c r="E78" s="53">
        <v>55363.037002000005</v>
      </c>
      <c r="F78" s="62">
        <f t="shared" si="7"/>
        <v>90364.174628000008</v>
      </c>
      <c r="G78" s="53"/>
      <c r="H78" s="53"/>
      <c r="I78" s="53">
        <f t="shared" si="8"/>
        <v>0</v>
      </c>
      <c r="K78" s="52" t="s">
        <v>60</v>
      </c>
      <c r="L78" s="176">
        <v>332835.67741935485</v>
      </c>
      <c r="O78" t="s">
        <v>59</v>
      </c>
      <c r="P78" s="176">
        <v>0</v>
      </c>
    </row>
    <row r="79" spans="2:16" x14ac:dyDescent="0.2">
      <c r="B79" t="s">
        <v>61</v>
      </c>
      <c r="C79" s="48">
        <f t="shared" si="6"/>
        <v>0</v>
      </c>
      <c r="D79" s="232">
        <v>0</v>
      </c>
      <c r="E79" s="48">
        <v>0</v>
      </c>
      <c r="F79" s="236">
        <f t="shared" si="7"/>
        <v>0</v>
      </c>
      <c r="G79" s="48">
        <v>0</v>
      </c>
      <c r="H79" s="48">
        <v>0</v>
      </c>
      <c r="I79" s="48">
        <f t="shared" si="8"/>
        <v>0</v>
      </c>
      <c r="K79" t="s">
        <v>61</v>
      </c>
      <c r="L79" s="176">
        <v>0</v>
      </c>
      <c r="O79" t="s">
        <v>61</v>
      </c>
      <c r="P79" s="176">
        <v>0</v>
      </c>
    </row>
    <row r="80" spans="2:16" x14ac:dyDescent="0.2">
      <c r="B80" s="52" t="s">
        <v>62</v>
      </c>
      <c r="C80" s="53">
        <f t="shared" si="6"/>
        <v>1232221.0142620001</v>
      </c>
      <c r="D80" s="238">
        <v>860080.15610999998</v>
      </c>
      <c r="E80" s="53">
        <v>372140.858152</v>
      </c>
      <c r="F80" s="62">
        <f t="shared" si="7"/>
        <v>1232221.0142620001</v>
      </c>
      <c r="G80" s="53"/>
      <c r="H80" s="53"/>
      <c r="I80" s="53">
        <f t="shared" si="8"/>
        <v>0</v>
      </c>
      <c r="K80" s="52" t="s">
        <v>62</v>
      </c>
      <c r="L80" s="176">
        <v>951430.13065646926</v>
      </c>
    </row>
    <row r="81" spans="2:12" ht="13.5" thickBot="1" x14ac:dyDescent="0.25">
      <c r="B81" s="47" t="s">
        <v>63</v>
      </c>
      <c r="C81" s="233">
        <f>SUM(C48:C80)</f>
        <v>54177582.500559002</v>
      </c>
      <c r="D81" s="234">
        <f t="shared" ref="D81:I81" si="9">SUM(D48:D80)</f>
        <v>40822011.266019002</v>
      </c>
      <c r="E81" s="233">
        <f t="shared" si="9"/>
        <v>11657199.549446</v>
      </c>
      <c r="F81" s="237">
        <f t="shared" si="9"/>
        <v>52479210.815464988</v>
      </c>
      <c r="G81" s="233">
        <f t="shared" si="9"/>
        <v>1381453.638602</v>
      </c>
      <c r="H81" s="233">
        <f t="shared" si="9"/>
        <v>316918.04649199999</v>
      </c>
      <c r="I81" s="233">
        <f t="shared" si="9"/>
        <v>1698371.6850939998</v>
      </c>
      <c r="L81">
        <v>31764291.432159856</v>
      </c>
    </row>
    <row r="82" spans="2:12" x14ac:dyDescent="0.2">
      <c r="B82" t="s">
        <v>423</v>
      </c>
      <c r="C82" s="235"/>
      <c r="D82" s="235"/>
      <c r="E82" s="235"/>
      <c r="F82" s="235"/>
      <c r="G82" s="235"/>
      <c r="H82" s="235"/>
    </row>
    <row r="85" spans="2:12" ht="15" x14ac:dyDescent="0.2">
      <c r="B85" s="603">
        <f>'Tables 13 &amp; 14'!B86:I86+1</f>
        <v>16</v>
      </c>
      <c r="C85" s="603"/>
      <c r="D85" s="603"/>
      <c r="E85" s="603"/>
      <c r="F85" s="603"/>
      <c r="G85" s="603"/>
      <c r="H85" s="603"/>
      <c r="I85" s="603"/>
    </row>
    <row r="88" spans="2:12" x14ac:dyDescent="0.2">
      <c r="C88" s="176"/>
      <c r="D88" s="176"/>
      <c r="E88" s="176"/>
      <c r="G88" s="176"/>
    </row>
    <row r="89" spans="2:12" x14ac:dyDescent="0.2">
      <c r="D89" s="48"/>
      <c r="E89" s="48"/>
      <c r="G89" s="48"/>
    </row>
  </sheetData>
  <mergeCells count="1">
    <mergeCell ref="B85:I85"/>
  </mergeCells>
  <phoneticPr fontId="38" type="noConversion"/>
  <pageMargins left="0.75" right="0.75" top="1" bottom="1" header="0.5" footer="0.5"/>
  <pageSetup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C1:O61"/>
  <sheetViews>
    <sheetView showGridLines="0" workbookViewId="0">
      <selection activeCell="M5" sqref="M5"/>
    </sheetView>
  </sheetViews>
  <sheetFormatPr defaultRowHeight="12.75" x14ac:dyDescent="0.2"/>
  <cols>
    <col min="2" max="2" width="3.5703125" customWidth="1"/>
  </cols>
  <sheetData>
    <row r="1" spans="3:15" ht="15.75" x14ac:dyDescent="0.25">
      <c r="C1" s="1" t="s">
        <v>443</v>
      </c>
      <c r="M1" s="606" t="s">
        <v>483</v>
      </c>
      <c r="N1" s="606"/>
      <c r="O1" s="606"/>
    </row>
    <row r="2" spans="3:15" ht="15.75" x14ac:dyDescent="0.25">
      <c r="C2" s="3" t="s">
        <v>464</v>
      </c>
      <c r="M2" s="606"/>
      <c r="N2" s="606"/>
      <c r="O2" s="606"/>
    </row>
    <row r="3" spans="3:15" x14ac:dyDescent="0.2">
      <c r="M3" s="606"/>
      <c r="N3" s="606"/>
      <c r="O3" s="606"/>
    </row>
    <row r="4" spans="3:15" ht="18" x14ac:dyDescent="0.25">
      <c r="C4" s="605" t="s">
        <v>475</v>
      </c>
      <c r="D4" s="605"/>
      <c r="E4" s="605"/>
      <c r="F4" s="605"/>
      <c r="G4" s="605"/>
      <c r="H4" s="605"/>
      <c r="I4" s="605"/>
      <c r="J4" s="605"/>
      <c r="K4" s="605"/>
      <c r="L4" s="605"/>
      <c r="M4" s="606"/>
      <c r="N4" s="606"/>
      <c r="O4" s="606"/>
    </row>
    <row r="5" spans="3:15" ht="18" x14ac:dyDescent="0.25">
      <c r="C5" s="249"/>
      <c r="D5" s="249"/>
      <c r="E5" s="249"/>
      <c r="F5" s="314" t="s">
        <v>469</v>
      </c>
      <c r="G5" s="249"/>
      <c r="H5" s="249"/>
      <c r="I5" s="249"/>
      <c r="J5" s="249"/>
      <c r="K5" s="249"/>
      <c r="L5" s="249"/>
    </row>
    <row r="6" spans="3:15" ht="18" x14ac:dyDescent="0.25">
      <c r="C6" s="249"/>
      <c r="D6" s="249"/>
      <c r="E6" s="249"/>
      <c r="F6" s="249"/>
      <c r="G6" s="249"/>
      <c r="H6" s="249"/>
      <c r="I6" s="249"/>
      <c r="J6" s="249"/>
      <c r="K6" s="249"/>
      <c r="L6" s="249"/>
    </row>
    <row r="61" spans="3:13" x14ac:dyDescent="0.2">
      <c r="C61" s="602">
        <f>'Tables 15 &amp; 16'!B85+1</f>
        <v>17</v>
      </c>
      <c r="D61" s="602"/>
      <c r="E61" s="602"/>
      <c r="F61" s="602"/>
      <c r="G61" s="602"/>
      <c r="H61" s="602"/>
      <c r="I61" s="602"/>
      <c r="J61" s="602"/>
      <c r="K61" s="602"/>
      <c r="L61" s="602"/>
      <c r="M61" s="602"/>
    </row>
  </sheetData>
  <mergeCells count="3">
    <mergeCell ref="C4:L4"/>
    <mergeCell ref="C61:M61"/>
    <mergeCell ref="M1:O4"/>
  </mergeCells>
  <phoneticPr fontId="38" type="noConversion"/>
  <pageMargins left="0.4" right="0.36" top="0.41" bottom="0.53" header="0.33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table 1 &amp; 2</vt:lpstr>
      <vt:lpstr>Tables 3,4,&amp;5</vt:lpstr>
      <vt:lpstr>Tables 6 &amp; 7</vt:lpstr>
      <vt:lpstr>Table 8</vt:lpstr>
      <vt:lpstr>Tables 9 &amp; 10</vt:lpstr>
      <vt:lpstr>Tables 11 &amp; 12</vt:lpstr>
      <vt:lpstr>Tables 13 &amp; 14</vt:lpstr>
      <vt:lpstr>Tables 15 &amp; 16</vt:lpstr>
      <vt:lpstr>9</vt:lpstr>
      <vt:lpstr> Table 17 part 1</vt:lpstr>
      <vt:lpstr>Table 17 part 2</vt:lpstr>
      <vt:lpstr>Table 18</vt:lpstr>
      <vt:lpstr>Table 19</vt:lpstr>
      <vt:lpstr>Table 20 part 1</vt:lpstr>
      <vt:lpstr>Table 20 part 2</vt:lpstr>
      <vt:lpstr>Table 21 part 1</vt:lpstr>
      <vt:lpstr>Table 21 part 2</vt:lpstr>
      <vt:lpstr>Table 22</vt:lpstr>
      <vt:lpstr>' Table 17 part 1'!Print_Area</vt:lpstr>
      <vt:lpstr>'9'!Print_Area</vt:lpstr>
      <vt:lpstr>'table 1 &amp; 2'!Print_Area</vt:lpstr>
      <vt:lpstr>'Table 17 part 2'!Print_Area</vt:lpstr>
      <vt:lpstr>'Table 18'!Print_Area</vt:lpstr>
      <vt:lpstr>'Table 19'!Print_Area</vt:lpstr>
      <vt:lpstr>'Table 20 part 1'!Print_Area</vt:lpstr>
      <vt:lpstr>'Table 20 part 2'!Print_Area</vt:lpstr>
      <vt:lpstr>'Table 21 part 1'!Print_Area</vt:lpstr>
      <vt:lpstr>'Table 21 part 2'!Print_Area</vt:lpstr>
      <vt:lpstr>'Table 22'!Print_Area</vt:lpstr>
      <vt:lpstr>'Table 8'!Print_Area</vt:lpstr>
      <vt:lpstr>'Tables 11 &amp; 12'!Print_Area</vt:lpstr>
      <vt:lpstr>'Tables 13 &amp; 14'!Print_Area</vt:lpstr>
      <vt:lpstr>'Tables 15 &amp; 16'!Print_Area</vt:lpstr>
      <vt:lpstr>'Tables 3,4,&amp;5'!Print_Area</vt:lpstr>
      <vt:lpstr>'Tables 6 &amp; 7'!Print_Area</vt:lpstr>
      <vt:lpstr>'Tables 9 &amp; 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Maury</dc:creator>
  <cp:lastModifiedBy>Chavez, Catrina, DFA</cp:lastModifiedBy>
  <cp:lastPrinted>2023-08-10T22:46:13Z</cp:lastPrinted>
  <dcterms:created xsi:type="dcterms:W3CDTF">2009-08-13T15:01:56Z</dcterms:created>
  <dcterms:modified xsi:type="dcterms:W3CDTF">2024-07-10T17:57:59Z</dcterms:modified>
</cp:coreProperties>
</file>