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udget and Finance Bureau\Special Projects\PROPERTY TAXES(protected info)\Final Valuations\"/>
    </mc:Choice>
  </mc:AlternateContent>
  <xr:revisionPtr revIDLastSave="0" documentId="13_ncr:1_{F23DE27E-749E-4897-B5D7-04F280B8361F}" xr6:coauthVersionLast="47" xr6:coauthVersionMax="47" xr10:uidLastSave="{00000000-0000-0000-0000-000000000000}"/>
  <bookViews>
    <workbookView xWindow="28680" yWindow="-120" windowWidth="29040" windowHeight="17520" xr2:uid="{7E99717D-75FB-4673-A3CC-06F013FDCFF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E190" i="1"/>
  <c r="C190" i="1"/>
  <c r="G60" i="1"/>
  <c r="D81" i="1" l="1"/>
  <c r="D71" i="1"/>
  <c r="D72" i="1"/>
  <c r="D70" i="1"/>
  <c r="D182" i="1"/>
  <c r="D180" i="1"/>
  <c r="D179" i="1"/>
  <c r="D178" i="1"/>
  <c r="D167" i="1"/>
  <c r="D166" i="1"/>
  <c r="D168" i="1"/>
  <c r="D165" i="1"/>
  <c r="D161" i="1"/>
  <c r="D162" i="1"/>
  <c r="D132" i="1"/>
  <c r="C132" i="1"/>
  <c r="D134" i="1"/>
  <c r="C134" i="1"/>
  <c r="D145" i="1"/>
  <c r="D144" i="1"/>
  <c r="C144" i="1"/>
  <c r="D143" i="1"/>
  <c r="D139" i="1"/>
  <c r="C139" i="1"/>
  <c r="D140" i="1"/>
  <c r="D138" i="1"/>
  <c r="D137" i="1"/>
  <c r="D114" i="1"/>
  <c r="D113" i="1"/>
  <c r="D115" i="1"/>
  <c r="D111" i="1"/>
  <c r="D87" i="1"/>
  <c r="H90" i="1"/>
  <c r="D90" i="1"/>
  <c r="D89" i="1"/>
  <c r="C89" i="1"/>
  <c r="D86" i="1"/>
  <c r="D88" i="1"/>
  <c r="D85" i="1"/>
  <c r="D79" i="1"/>
  <c r="D80" i="1"/>
  <c r="D78" i="1"/>
  <c r="D75" i="1"/>
  <c r="D74" i="1"/>
  <c r="D48" i="1"/>
  <c r="D46" i="1"/>
  <c r="D50" i="1"/>
  <c r="D49" i="1"/>
  <c r="D47" i="1"/>
  <c r="D45" i="1"/>
  <c r="D43" i="1" l="1"/>
  <c r="D42" i="1"/>
  <c r="D40" i="1"/>
  <c r="H40" i="1" s="1"/>
  <c r="D39" i="1"/>
  <c r="H39" i="1" s="1"/>
  <c r="D37" i="1"/>
  <c r="H37" i="1" s="1"/>
  <c r="D36" i="1"/>
  <c r="I36" i="1" s="1"/>
  <c r="D16" i="1"/>
  <c r="H16" i="1" s="1"/>
  <c r="D15" i="1"/>
  <c r="I15" i="1" s="1"/>
  <c r="D10" i="1"/>
  <c r="H10" i="1" s="1"/>
  <c r="D9" i="1"/>
  <c r="D8" i="1"/>
  <c r="I8" i="1"/>
  <c r="H9" i="1"/>
  <c r="H11" i="1"/>
  <c r="H12" i="1"/>
  <c r="I18" i="1"/>
  <c r="H19" i="1"/>
  <c r="H20" i="1"/>
  <c r="H21" i="1"/>
  <c r="H22" i="1"/>
  <c r="I24" i="1"/>
  <c r="H25" i="1"/>
  <c r="H26" i="1"/>
  <c r="I28" i="1"/>
  <c r="H29" i="1"/>
  <c r="H30" i="1"/>
  <c r="H31" i="1"/>
  <c r="H32" i="1"/>
  <c r="H33" i="1"/>
  <c r="H34" i="1"/>
  <c r="H38" i="1"/>
  <c r="I42" i="1"/>
  <c r="H43" i="1"/>
  <c r="I45" i="1"/>
  <c r="H46" i="1"/>
  <c r="H47" i="1"/>
  <c r="H48" i="1"/>
  <c r="H49" i="1"/>
  <c r="H50" i="1"/>
  <c r="I54" i="1"/>
  <c r="H55" i="1"/>
  <c r="H56" i="1"/>
  <c r="H57" i="1"/>
  <c r="H58" i="1"/>
  <c r="I60" i="1"/>
  <c r="H61" i="1"/>
  <c r="H62" i="1"/>
  <c r="H63" i="1"/>
  <c r="H64" i="1"/>
  <c r="I66" i="1"/>
  <c r="H67" i="1"/>
  <c r="H68" i="1"/>
  <c r="I70" i="1"/>
  <c r="H71" i="1"/>
  <c r="H72" i="1"/>
  <c r="I74" i="1"/>
  <c r="H75" i="1"/>
  <c r="H76" i="1"/>
  <c r="I78" i="1"/>
  <c r="H79" i="1"/>
  <c r="H80" i="1"/>
  <c r="H81" i="1"/>
  <c r="H82" i="1"/>
  <c r="H83" i="1"/>
  <c r="I85" i="1"/>
  <c r="H86" i="1"/>
  <c r="H87" i="1"/>
  <c r="H88" i="1"/>
  <c r="H89" i="1"/>
  <c r="I92" i="1"/>
  <c r="I94" i="1"/>
  <c r="H95" i="1"/>
  <c r="H96" i="1"/>
  <c r="I98" i="1"/>
  <c r="H99" i="1"/>
  <c r="I101" i="1"/>
  <c r="H102" i="1"/>
  <c r="I106" i="1"/>
  <c r="H107" i="1"/>
  <c r="H108" i="1"/>
  <c r="H109" i="1"/>
  <c r="I111" i="1"/>
  <c r="H112" i="1"/>
  <c r="H113" i="1"/>
  <c r="H114" i="1"/>
  <c r="H115" i="1"/>
  <c r="I117" i="1"/>
  <c r="H118" i="1"/>
  <c r="H119" i="1"/>
  <c r="I121" i="1"/>
  <c r="H122" i="1"/>
  <c r="H123" i="1"/>
  <c r="H124" i="1"/>
  <c r="H125" i="1"/>
  <c r="H126" i="1"/>
  <c r="I128" i="1"/>
  <c r="H129" i="1"/>
  <c r="H130" i="1"/>
  <c r="H131" i="1"/>
  <c r="H132" i="1"/>
  <c r="H133" i="1"/>
  <c r="H134" i="1"/>
  <c r="H135" i="1"/>
  <c r="I137" i="1"/>
  <c r="H138" i="1"/>
  <c r="H139" i="1"/>
  <c r="H140" i="1"/>
  <c r="H141" i="1"/>
  <c r="I143" i="1"/>
  <c r="H144" i="1"/>
  <c r="H145" i="1"/>
  <c r="I147" i="1"/>
  <c r="H148" i="1"/>
  <c r="H149" i="1"/>
  <c r="H150" i="1"/>
  <c r="H151" i="1"/>
  <c r="I153" i="1"/>
  <c r="H154" i="1"/>
  <c r="H155" i="1"/>
  <c r="H156" i="1"/>
  <c r="I161" i="1"/>
  <c r="H162" i="1"/>
  <c r="H163" i="1"/>
  <c r="I165" i="1"/>
  <c r="H166" i="1"/>
  <c r="H167" i="1"/>
  <c r="H168" i="1"/>
  <c r="H169" i="1"/>
  <c r="I171" i="1"/>
  <c r="H172" i="1"/>
  <c r="H173" i="1"/>
  <c r="H174" i="1"/>
  <c r="H175" i="1"/>
  <c r="H176" i="1"/>
  <c r="I178" i="1"/>
  <c r="H179" i="1"/>
  <c r="H180" i="1"/>
  <c r="H181" i="1"/>
  <c r="H182" i="1"/>
  <c r="I184" i="1"/>
  <c r="H185" i="1"/>
  <c r="H186" i="1"/>
  <c r="H187" i="1"/>
  <c r="H188" i="1"/>
  <c r="H189" i="1"/>
  <c r="I191" i="1" l="1"/>
  <c r="D190" i="1"/>
  <c r="D191" i="1" s="1"/>
  <c r="F193" i="1"/>
  <c r="E193" i="1"/>
  <c r="F192" i="1"/>
  <c r="E192" i="1"/>
  <c r="C191" i="1"/>
  <c r="E191" i="1" l="1"/>
  <c r="G190" i="1"/>
  <c r="G191" i="1" s="1"/>
  <c r="F190" i="1"/>
  <c r="F191" i="1" s="1"/>
  <c r="J12" i="1"/>
  <c r="K135" i="1" s="1"/>
  <c r="H191" i="1"/>
  <c r="H192" i="1" l="1"/>
  <c r="K150" i="1"/>
  <c r="K12" i="1"/>
  <c r="J190" i="1"/>
  <c r="H193" i="1" l="1"/>
  <c r="I193" i="1"/>
  <c r="K1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Suazo-Giles</author>
    <author>Jolene Gonzales</author>
    <author>Catrina Chavez</author>
  </authors>
  <commentList>
    <comment ref="E6" authorId="0" shapeId="0" xr:uid="{5EC3334E-93CB-4637-896A-FE2FDA135F0D}">
      <text>
        <r>
          <rPr>
            <b/>
            <sz val="9"/>
            <color indexed="81"/>
            <rFont val="Tahoma"/>
            <charset val="1"/>
          </rPr>
          <t>Brenda Suazo-Giles:</t>
        </r>
        <r>
          <rPr>
            <sz val="9"/>
            <color indexed="81"/>
            <rFont val="Tahoma"/>
            <charset val="1"/>
          </rPr>
          <t xml:space="preserve">
Oil and Gas valuation is linked to the pivot table within the "export valuations" tab that contains data exported from LGBMS Property Tax Module.</t>
        </r>
      </text>
    </comment>
    <comment ref="G6" authorId="0" shapeId="0" xr:uid="{3C6D80CC-7CA1-46C0-A06E-3370FCD3A755}">
      <text>
        <r>
          <rPr>
            <b/>
            <sz val="9"/>
            <color indexed="81"/>
            <rFont val="Tahoma"/>
            <family val="2"/>
          </rPr>
          <t>Brenda Suazo-Giles:</t>
        </r>
        <r>
          <rPr>
            <sz val="9"/>
            <color indexed="81"/>
            <rFont val="Tahoma"/>
            <family val="2"/>
          </rPr>
          <t xml:space="preserve">
Copper valuation is linked to the pivot table within the "export valuations" tab that contains data exported from LGBMS Property Tax Module. NOTE: Historically only applies to Grant County.</t>
        </r>
      </text>
    </comment>
    <comment ref="A12" authorId="1" shapeId="0" xr:uid="{58A9FAAF-1109-4612-B475-739B99D9F089}">
      <text>
        <r>
          <rPr>
            <b/>
            <sz val="9"/>
            <color indexed="81"/>
            <rFont val="Tahoma"/>
            <family val="2"/>
          </rPr>
          <t>Jolene Gonzales:</t>
        </r>
        <r>
          <rPr>
            <sz val="9"/>
            <color indexed="81"/>
            <rFont val="Tahoma"/>
            <family val="2"/>
          </rPr>
          <t xml:space="preserve">
Don’t update or change. Leave value the same as the initial amount can be abtained from the Property Tax export file.</t>
        </r>
      </text>
    </comment>
    <comment ref="B132" authorId="2" shapeId="0" xr:uid="{4EF2EBA1-419A-4B42-BFEF-4FC1E8649875}">
      <text>
        <r>
          <rPr>
            <b/>
            <sz val="9"/>
            <color indexed="81"/>
            <rFont val="Tahoma"/>
            <charset val="1"/>
          </rPr>
          <t>Catrina Chavez:</t>
        </r>
        <r>
          <rPr>
            <sz val="9"/>
            <color indexed="81"/>
            <rFont val="Tahoma"/>
            <charset val="1"/>
          </rPr>
          <t xml:space="preserve">
Add in Bernalillo County R1-A for Non-Residential
 (Residential is a $0)</t>
        </r>
      </text>
    </comment>
    <comment ref="A135" authorId="1" shapeId="0" xr:uid="{9E71027E-337D-4022-A918-5F5D19A0C39F}">
      <text>
        <r>
          <rPr>
            <b/>
            <sz val="9"/>
            <color indexed="81"/>
            <rFont val="Tahoma"/>
            <family val="2"/>
          </rPr>
          <t>Jolene Gonzales: Don’t update or change. 
Leave value the same as the initial amount can be abtained from the Property Tax export file.</t>
        </r>
      </text>
    </comment>
  </commentList>
</comments>
</file>

<file path=xl/sharedStrings.xml><?xml version="1.0" encoding="utf-8"?>
<sst xmlns="http://schemas.openxmlformats.org/spreadsheetml/2006/main" count="336" uniqueCount="228">
  <si>
    <t>Property Tax Valuation Data</t>
  </si>
  <si>
    <t>Total</t>
  </si>
  <si>
    <t>Residential</t>
  </si>
  <si>
    <t>Non-Residential</t>
  </si>
  <si>
    <t xml:space="preserve">                  Oil &amp; Gas</t>
  </si>
  <si>
    <t>Copper</t>
  </si>
  <si>
    <t>Municipal</t>
  </si>
  <si>
    <t>County</t>
  </si>
  <si>
    <t>COUNTY/MUNICIPALITY</t>
  </si>
  <si>
    <t>Code</t>
  </si>
  <si>
    <t>Values</t>
  </si>
  <si>
    <t>Production</t>
  </si>
  <si>
    <t>Equipment</t>
  </si>
  <si>
    <t>Bernalillo</t>
  </si>
  <si>
    <t xml:space="preserve">            Albuquerque</t>
  </si>
  <si>
    <t>12</t>
  </si>
  <si>
    <t xml:space="preserve">            Los Ranchos</t>
  </si>
  <si>
    <t>12 LR</t>
  </si>
  <si>
    <t>Edgewood</t>
  </si>
  <si>
    <t xml:space="preserve">            Tijeras</t>
  </si>
  <si>
    <t>12 T</t>
  </si>
  <si>
    <t>Total Edgewood:</t>
  </si>
  <si>
    <t>% in Bern Co:</t>
  </si>
  <si>
    <t xml:space="preserve">            Edgewood</t>
  </si>
  <si>
    <t>12 E OUT</t>
  </si>
  <si>
    <t>Catron</t>
  </si>
  <si>
    <t xml:space="preserve">            Reserve</t>
  </si>
  <si>
    <t>1</t>
  </si>
  <si>
    <t>Chaves</t>
  </si>
  <si>
    <t xml:space="preserve">            Dexter</t>
  </si>
  <si>
    <t>8</t>
  </si>
  <si>
    <t xml:space="preserve">            Hagerman</t>
  </si>
  <si>
    <t>6</t>
  </si>
  <si>
    <t xml:space="preserve">            Lake Arthur</t>
  </si>
  <si>
    <t>20</t>
  </si>
  <si>
    <t xml:space="preserve">            Roswell</t>
  </si>
  <si>
    <t>Cibola</t>
  </si>
  <si>
    <t xml:space="preserve">            Grants</t>
  </si>
  <si>
    <t>3</t>
  </si>
  <si>
    <t xml:space="preserve">             Milan</t>
  </si>
  <si>
    <t>3 A</t>
  </si>
  <si>
    <t>Colfax</t>
  </si>
  <si>
    <t xml:space="preserve">            Angel Fire</t>
  </si>
  <si>
    <t>3 B</t>
  </si>
  <si>
    <t xml:space="preserve">            Cimarron</t>
  </si>
  <si>
    <t xml:space="preserve">            Eagle Nest</t>
  </si>
  <si>
    <t xml:space="preserve">            Maxwell</t>
  </si>
  <si>
    <t>26</t>
  </si>
  <si>
    <t xml:space="preserve">            Raton</t>
  </si>
  <si>
    <t>11</t>
  </si>
  <si>
    <t xml:space="preserve">            Springer</t>
  </si>
  <si>
    <t>24</t>
  </si>
  <si>
    <t>Curry</t>
  </si>
  <si>
    <t xml:space="preserve">            Clovis</t>
  </si>
  <si>
    <t xml:space="preserve">            Grady</t>
  </si>
  <si>
    <t>61</t>
  </si>
  <si>
    <t xml:space="preserve">            Melrose</t>
  </si>
  <si>
    <t xml:space="preserve">            Texico</t>
  </si>
  <si>
    <t>2</t>
  </si>
  <si>
    <t>De Baca</t>
  </si>
  <si>
    <t xml:space="preserve">            Fort Sumner</t>
  </si>
  <si>
    <t>Dona Ana</t>
  </si>
  <si>
    <t xml:space="preserve">            Las Cruces</t>
  </si>
  <si>
    <t xml:space="preserve">            Hatch</t>
  </si>
  <si>
    <t xml:space="preserve">            Mesilla</t>
  </si>
  <si>
    <t>2 D</t>
  </si>
  <si>
    <t xml:space="preserve">            Sunland Park</t>
  </si>
  <si>
    <t>16</t>
  </si>
  <si>
    <t xml:space="preserve">            Anthony</t>
  </si>
  <si>
    <t xml:space="preserve">Eddy </t>
  </si>
  <si>
    <t xml:space="preserve">            Artesia</t>
  </si>
  <si>
    <t xml:space="preserve">            Carlsbad</t>
  </si>
  <si>
    <t>C</t>
  </si>
  <si>
    <t xml:space="preserve">            Hope</t>
  </si>
  <si>
    <t>16 D</t>
  </si>
  <si>
    <t xml:space="preserve">            Loving</t>
  </si>
  <si>
    <t>10</t>
  </si>
  <si>
    <t>Grant</t>
  </si>
  <si>
    <t xml:space="preserve">            Bayard</t>
  </si>
  <si>
    <t>2 B</t>
  </si>
  <si>
    <t xml:space="preserve">            Hurley</t>
  </si>
  <si>
    <t>2 H</t>
  </si>
  <si>
    <t xml:space="preserve">            Santa Clara</t>
  </si>
  <si>
    <t>2 C</t>
  </si>
  <si>
    <t xml:space="preserve">            Silver City</t>
  </si>
  <si>
    <t>Guadalupe</t>
  </si>
  <si>
    <t xml:space="preserve">            Santa Rosa</t>
  </si>
  <si>
    <t xml:space="preserve">            Vaughn</t>
  </si>
  <si>
    <t>33</t>
  </si>
  <si>
    <t>Harding</t>
  </si>
  <si>
    <t xml:space="preserve">            Mosquero</t>
  </si>
  <si>
    <t>5</t>
  </si>
  <si>
    <t xml:space="preserve">            Roy</t>
  </si>
  <si>
    <t>Hidalgo</t>
  </si>
  <si>
    <t xml:space="preserve">            Lordsburg</t>
  </si>
  <si>
    <t xml:space="preserve">            Virden</t>
  </si>
  <si>
    <t>1 A</t>
  </si>
  <si>
    <t>Lea</t>
  </si>
  <si>
    <t xml:space="preserve">            Eunice</t>
  </si>
  <si>
    <t xml:space="preserve">            Hobbs</t>
  </si>
  <si>
    <t xml:space="preserve">            Jal</t>
  </si>
  <si>
    <t>19</t>
  </si>
  <si>
    <t xml:space="preserve">            Lovington</t>
  </si>
  <si>
    <t xml:space="preserve">            Tatum</t>
  </si>
  <si>
    <t>28</t>
  </si>
  <si>
    <t>Lincoln</t>
  </si>
  <si>
    <t xml:space="preserve">            Capitan</t>
  </si>
  <si>
    <t xml:space="preserve">            Carrizozo</t>
  </si>
  <si>
    <t>7</t>
  </si>
  <si>
    <t xml:space="preserve">            Corona</t>
  </si>
  <si>
    <t>13</t>
  </si>
  <si>
    <t xml:space="preserve">            Ruidoso</t>
  </si>
  <si>
    <t>3+28RU</t>
  </si>
  <si>
    <t xml:space="preserve">            Ruidoso Downs</t>
  </si>
  <si>
    <t>3/35</t>
  </si>
  <si>
    <t>Los Alamos</t>
  </si>
  <si>
    <t>Luna</t>
  </si>
  <si>
    <t xml:space="preserve">            Columbus</t>
  </si>
  <si>
    <t xml:space="preserve">            Deming</t>
  </si>
  <si>
    <t>McKinley</t>
  </si>
  <si>
    <t xml:space="preserve">            Gallup</t>
  </si>
  <si>
    <t>Mora</t>
  </si>
  <si>
    <t xml:space="preserve">            Wagon Mound</t>
  </si>
  <si>
    <t>Otero</t>
  </si>
  <si>
    <t xml:space="preserve">            Alamogordo</t>
  </si>
  <si>
    <t xml:space="preserve">            Cloudcroft</t>
  </si>
  <si>
    <t xml:space="preserve">            Tularosa</t>
  </si>
  <si>
    <t>4</t>
  </si>
  <si>
    <t>Quay</t>
  </si>
  <si>
    <t xml:space="preserve">            House</t>
  </si>
  <si>
    <t xml:space="preserve">            Logan</t>
  </si>
  <si>
    <t>32</t>
  </si>
  <si>
    <t xml:space="preserve">            San Jon</t>
  </si>
  <si>
    <t>34</t>
  </si>
  <si>
    <t xml:space="preserve">            Tucumcari</t>
  </si>
  <si>
    <t>Rio Arriba</t>
  </si>
  <si>
    <t xml:space="preserve">            Chama</t>
  </si>
  <si>
    <t xml:space="preserve">            Espanola</t>
  </si>
  <si>
    <t>Roosevelt</t>
  </si>
  <si>
    <t xml:space="preserve">            Causey</t>
  </si>
  <si>
    <t>39 A</t>
  </si>
  <si>
    <t xml:space="preserve">            Dora</t>
  </si>
  <si>
    <t>39</t>
  </si>
  <si>
    <t xml:space="preserve">            Elida</t>
  </si>
  <si>
    <t xml:space="preserve">            Floyd</t>
  </si>
  <si>
    <t xml:space="preserve">            Portales</t>
  </si>
  <si>
    <t>Sandoval</t>
  </si>
  <si>
    <t xml:space="preserve">            Bernalillo</t>
  </si>
  <si>
    <t xml:space="preserve">            Cuba</t>
  </si>
  <si>
    <t xml:space="preserve">            Jemez Springs</t>
  </si>
  <si>
    <t>31</t>
  </si>
  <si>
    <t xml:space="preserve">            Rio Rancho</t>
  </si>
  <si>
    <t>94</t>
  </si>
  <si>
    <t xml:space="preserve">            San Ysidro</t>
  </si>
  <si>
    <t>31 A</t>
  </si>
  <si>
    <t xml:space="preserve">            Corrales</t>
  </si>
  <si>
    <t>% in Sand Co:</t>
  </si>
  <si>
    <t>1OUT</t>
  </si>
  <si>
    <t>San Juan</t>
  </si>
  <si>
    <t xml:space="preserve">            Aztec</t>
  </si>
  <si>
    <t xml:space="preserve">            Bloomfield</t>
  </si>
  <si>
    <t xml:space="preserve">            Farmington</t>
  </si>
  <si>
    <t xml:space="preserve">            Kirtland</t>
  </si>
  <si>
    <t>San Miguel</t>
  </si>
  <si>
    <t xml:space="preserve">            Las Vegas</t>
  </si>
  <si>
    <t xml:space="preserve">            Pecos</t>
  </si>
  <si>
    <t>21</t>
  </si>
  <si>
    <t>Santa Fe</t>
  </si>
  <si>
    <t xml:space="preserve">            Santa Fe</t>
  </si>
  <si>
    <t>18</t>
  </si>
  <si>
    <t>% in Santa Fe Co:</t>
  </si>
  <si>
    <t>8 T</t>
  </si>
  <si>
    <t xml:space="preserve">            Edgewood (annexation)</t>
  </si>
  <si>
    <t>8TA</t>
  </si>
  <si>
    <t>Sierra</t>
  </si>
  <si>
    <t xml:space="preserve">            T or C</t>
  </si>
  <si>
    <t xml:space="preserve">            Williamsburg</t>
  </si>
  <si>
    <t>6 W</t>
  </si>
  <si>
    <t xml:space="preserve">            Elephant Butte</t>
  </si>
  <si>
    <t>6 EB</t>
  </si>
  <si>
    <t>Socorro</t>
  </si>
  <si>
    <t xml:space="preserve">            Magdalena</t>
  </si>
  <si>
    <t xml:space="preserve">            Socorro</t>
  </si>
  <si>
    <t>Taos</t>
  </si>
  <si>
    <t xml:space="preserve">            Questa</t>
  </si>
  <si>
    <t>9</t>
  </si>
  <si>
    <t xml:space="preserve">            Red River</t>
  </si>
  <si>
    <t>9 RR</t>
  </si>
  <si>
    <t xml:space="preserve">            Taos</t>
  </si>
  <si>
    <t xml:space="preserve">            Taos SV</t>
  </si>
  <si>
    <t>8-18</t>
  </si>
  <si>
    <t>Torrance</t>
  </si>
  <si>
    <t xml:space="preserve">            Encino</t>
  </si>
  <si>
    <t xml:space="preserve">            Estancia</t>
  </si>
  <si>
    <t xml:space="preserve">            Moriarty</t>
  </si>
  <si>
    <t xml:space="preserve">            Mountainair</t>
  </si>
  <si>
    <t xml:space="preserve">            Willard</t>
  </si>
  <si>
    <t>7 W</t>
  </si>
  <si>
    <t>Union</t>
  </si>
  <si>
    <t xml:space="preserve">            Clayton</t>
  </si>
  <si>
    <t xml:space="preserve">            Des Moines</t>
  </si>
  <si>
    <t>22 D</t>
  </si>
  <si>
    <t xml:space="preserve">            Folsom</t>
  </si>
  <si>
    <t>22 F</t>
  </si>
  <si>
    <t xml:space="preserve">            Grenville</t>
  </si>
  <si>
    <t>22 G</t>
  </si>
  <si>
    <t>Valencia</t>
  </si>
  <si>
    <t xml:space="preserve">            Belen</t>
  </si>
  <si>
    <t xml:space="preserve">            Bosque Farms</t>
  </si>
  <si>
    <t>BF</t>
  </si>
  <si>
    <t xml:space="preserve">            Los Lunas</t>
  </si>
  <si>
    <t xml:space="preserve">            Peralta</t>
  </si>
  <si>
    <t>PR-01</t>
  </si>
  <si>
    <t xml:space="preserve">            Rio Communities</t>
  </si>
  <si>
    <t>1RC</t>
  </si>
  <si>
    <t>GRAND TOTAL</t>
  </si>
  <si>
    <t>Cnty</t>
  </si>
  <si>
    <t>Check</t>
  </si>
  <si>
    <t>Muni</t>
  </si>
  <si>
    <t>CHECK VALUES - County:</t>
  </si>
  <si>
    <t>Check Formula</t>
  </si>
  <si>
    <t>CHECK VALUES - Municipal:</t>
  </si>
  <si>
    <t>Municipal Total with Los Alamos:</t>
  </si>
  <si>
    <t>Tax Year 2023</t>
  </si>
  <si>
    <t xml:space="preserve"> </t>
  </si>
  <si>
    <t>6+61/20</t>
  </si>
  <si>
    <t>1+2</t>
  </si>
  <si>
    <t>2A + 2AC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</si>
</sst>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00_);\(#,##0.00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0070C0"/>
      <name val="Arial"/>
      <family val="2"/>
    </font>
    <font>
      <b/>
      <sz val="10"/>
      <color rgb="FFCC66FF"/>
      <name val="Helv"/>
    </font>
    <font>
      <b/>
      <sz val="10"/>
      <name val="Helv"/>
    </font>
    <font>
      <b/>
      <sz val="10"/>
      <color rgb="FFCC66FF"/>
      <name val="Arial"/>
      <family val="2"/>
    </font>
    <font>
      <b/>
      <sz val="11"/>
      <color rgb="FF0000FF"/>
      <name val="Arial"/>
      <family val="2"/>
    </font>
    <font>
      <sz val="10"/>
      <color indexed="12"/>
      <name val="Helv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14" fontId="4" fillId="0" borderId="0" xfId="0" applyNumberFormat="1" applyFont="1"/>
    <xf numFmtId="0" fontId="5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4" xfId="0" applyFont="1" applyFill="1" applyBorder="1"/>
    <xf numFmtId="0" fontId="3" fillId="2" borderId="5" xfId="0" applyFont="1" applyFill="1" applyBorder="1" applyAlignment="1">
      <alignment horizontal="center"/>
    </xf>
    <xf numFmtId="164" fontId="0" fillId="0" borderId="0" xfId="1" applyNumberFormat="1" applyFont="1" applyFill="1"/>
    <xf numFmtId="164" fontId="2" fillId="0" borderId="0" xfId="1" applyNumberFormat="1" applyFont="1" applyFill="1" applyProtection="1"/>
    <xf numFmtId="0" fontId="2" fillId="0" borderId="0" xfId="0" applyFont="1" applyAlignment="1">
      <alignment horizontal="right"/>
    </xf>
    <xf numFmtId="164" fontId="2" fillId="0" borderId="0" xfId="0" applyNumberFormat="1" applyFont="1"/>
    <xf numFmtId="10" fontId="2" fillId="0" borderId="0" xfId="2" applyNumberFormat="1" applyFont="1"/>
    <xf numFmtId="3" fontId="2" fillId="0" borderId="0" xfId="0" applyNumberFormat="1" applyFont="1"/>
    <xf numFmtId="0" fontId="2" fillId="0" borderId="0" xfId="0" applyFont="1" applyAlignment="1">
      <alignment horizontal="left"/>
    </xf>
    <xf numFmtId="164" fontId="2" fillId="0" borderId="0" xfId="1" applyNumberFormat="1" applyFont="1" applyFill="1" applyBorder="1" applyAlignment="1" applyProtection="1">
      <alignment horizontal="right"/>
    </xf>
    <xf numFmtId="0" fontId="3" fillId="2" borderId="1" xfId="0" applyFont="1" applyFill="1" applyBorder="1"/>
    <xf numFmtId="0" fontId="3" fillId="2" borderId="2" xfId="0" applyFont="1" applyFill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2" borderId="3" xfId="0" applyFont="1" applyFill="1" applyBorder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37" fontId="2" fillId="0" borderId="0" xfId="0" applyNumberFormat="1" applyFont="1"/>
    <xf numFmtId="0" fontId="2" fillId="3" borderId="0" xfId="0" applyFont="1" applyFill="1"/>
    <xf numFmtId="164" fontId="2" fillId="0" borderId="0" xfId="1" applyNumberFormat="1" applyFont="1" applyFill="1"/>
    <xf numFmtId="165" fontId="2" fillId="0" borderId="0" xfId="2" applyNumberFormat="1" applyFont="1"/>
    <xf numFmtId="10" fontId="3" fillId="0" borderId="0" xfId="0" applyNumberFormat="1" applyFont="1"/>
    <xf numFmtId="0" fontId="3" fillId="2" borderId="1" xfId="0" applyFont="1" applyFill="1" applyBorder="1" applyAlignment="1">
      <alignment horizontal="right"/>
    </xf>
    <xf numFmtId="37" fontId="3" fillId="2" borderId="2" xfId="0" applyNumberFormat="1" applyFont="1" applyFill="1" applyBorder="1"/>
    <xf numFmtId="0" fontId="3" fillId="2" borderId="4" xfId="0" applyFont="1" applyFill="1" applyBorder="1" applyAlignment="1">
      <alignment horizontal="right"/>
    </xf>
    <xf numFmtId="0" fontId="3" fillId="2" borderId="5" xfId="0" applyFont="1" applyFill="1" applyBorder="1"/>
    <xf numFmtId="37" fontId="3" fillId="2" borderId="5" xfId="0" applyNumberFormat="1" applyFont="1" applyFill="1" applyBorder="1"/>
    <xf numFmtId="0" fontId="6" fillId="0" borderId="0" xfId="0" applyFont="1"/>
    <xf numFmtId="0" fontId="7" fillId="0" borderId="0" xfId="0" applyFont="1"/>
    <xf numFmtId="37" fontId="7" fillId="0" borderId="0" xfId="0" applyNumberFormat="1" applyFont="1"/>
    <xf numFmtId="164" fontId="8" fillId="0" borderId="0" xfId="1" applyNumberFormat="1" applyFont="1"/>
    <xf numFmtId="0" fontId="0" fillId="0" borderId="0" xfId="0" applyAlignment="1">
      <alignment horizontal="right" wrapText="1"/>
    </xf>
    <xf numFmtId="0" fontId="9" fillId="0" borderId="0" xfId="0" applyFont="1"/>
    <xf numFmtId="166" fontId="2" fillId="0" borderId="0" xfId="0" applyNumberFormat="1" applyFont="1"/>
    <xf numFmtId="37" fontId="10" fillId="0" borderId="0" xfId="0" applyNumberFormat="1" applyFont="1" applyProtection="1">
      <protection locked="0"/>
    </xf>
    <xf numFmtId="164" fontId="3" fillId="2" borderId="5" xfId="0" applyNumberFormat="1" applyFont="1" applyFill="1" applyBorder="1"/>
    <xf numFmtId="164" fontId="0" fillId="4" borderId="0" xfId="1" applyNumberFormat="1" applyFont="1" applyFill="1"/>
    <xf numFmtId="0" fontId="2" fillId="0" borderId="0" xfId="0" quotePrefix="1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Budget%20and%20Finance%20Bureau\Special%20Projects\PROPERTY%20TAXES(protected%20info)\Final%20Valuations\TY%202022%20Abstracts\FINVAL2022.xlsx" TargetMode="External"/><Relationship Id="rId1" Type="http://schemas.openxmlformats.org/officeDocument/2006/relationships/externalLinkPath" Target="TY%202022%20Abstracts/FINVAL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l Valuations"/>
      <sheetName val="export_valuations_2022"/>
    </sheetNames>
    <sheetDataSet>
      <sheetData sheetId="0"/>
      <sheetData sheetId="1">
        <row r="72">
          <cell r="N72">
            <v>4566793615.29</v>
          </cell>
        </row>
        <row r="73">
          <cell r="N73">
            <v>22853096.289999999</v>
          </cell>
        </row>
        <row r="76">
          <cell r="N76">
            <v>18585877037</v>
          </cell>
        </row>
        <row r="77">
          <cell r="N77">
            <v>100009550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4EAB-AA3E-47B6-9A31-5B8645E26741}">
  <sheetPr>
    <pageSetUpPr fitToPage="1"/>
  </sheetPr>
  <dimension ref="A1:N197"/>
  <sheetViews>
    <sheetView tabSelected="1" zoomScale="130" zoomScaleNormal="130" workbookViewId="0">
      <pane ySplit="1" topLeftCell="A59" activePane="bottomLeft" state="frozen"/>
      <selection pane="bottomLeft" activeCell="E54" sqref="E54:F54"/>
    </sheetView>
  </sheetViews>
  <sheetFormatPr defaultColWidth="12" defaultRowHeight="12.75" x14ac:dyDescent="0.2"/>
  <cols>
    <col min="1" max="1" width="29.42578125" style="1" customWidth="1"/>
    <col min="2" max="2" width="8.85546875" style="1" customWidth="1"/>
    <col min="3" max="3" width="20.85546875" style="1" bestFit="1" customWidth="1"/>
    <col min="4" max="4" width="20.42578125" style="1" bestFit="1" customWidth="1"/>
    <col min="5" max="5" width="18.5703125" style="1" customWidth="1"/>
    <col min="6" max="6" width="18.42578125" style="1" bestFit="1" customWidth="1"/>
    <col min="7" max="7" width="18.85546875" style="1" customWidth="1"/>
    <col min="8" max="8" width="29.42578125" style="1" customWidth="1"/>
    <col min="9" max="9" width="20.140625" style="1" bestFit="1" customWidth="1"/>
    <col min="10" max="10" width="15.85546875" style="1" customWidth="1"/>
    <col min="11" max="11" width="19.140625" style="1" customWidth="1"/>
    <col min="12" max="16384" width="12" style="1"/>
  </cols>
  <sheetData>
    <row r="1" spans="1:11" x14ac:dyDescent="0.2">
      <c r="D1" s="2"/>
      <c r="I1" s="3"/>
    </row>
    <row r="2" spans="1:11" x14ac:dyDescent="0.2">
      <c r="D2" s="2"/>
      <c r="E2" s="2"/>
    </row>
    <row r="3" spans="1:11" x14ac:dyDescent="0.2">
      <c r="A3" s="2" t="s">
        <v>0</v>
      </c>
      <c r="D3" s="4" t="s">
        <v>223</v>
      </c>
    </row>
    <row r="5" spans="1:11" x14ac:dyDescent="0.2">
      <c r="A5" s="5"/>
      <c r="B5" s="6"/>
      <c r="C5" s="6"/>
      <c r="D5" s="6"/>
      <c r="E5" s="6"/>
      <c r="F5" s="6"/>
      <c r="G5" s="6"/>
      <c r="H5" s="7" t="s">
        <v>1</v>
      </c>
      <c r="I5" s="7" t="s">
        <v>1</v>
      </c>
    </row>
    <row r="6" spans="1:11" x14ac:dyDescent="0.2">
      <c r="A6" s="8"/>
      <c r="B6" s="9"/>
      <c r="C6" s="10" t="s">
        <v>2</v>
      </c>
      <c r="D6" s="10" t="s">
        <v>3</v>
      </c>
      <c r="E6" s="11" t="s">
        <v>4</v>
      </c>
      <c r="F6" s="11"/>
      <c r="G6" s="10" t="s">
        <v>5</v>
      </c>
      <c r="H6" s="10" t="s">
        <v>6</v>
      </c>
      <c r="I6" s="10" t="s">
        <v>7</v>
      </c>
    </row>
    <row r="7" spans="1:11" x14ac:dyDescent="0.2">
      <c r="A7" s="12" t="s">
        <v>8</v>
      </c>
      <c r="B7" s="13" t="s">
        <v>9</v>
      </c>
      <c r="C7" s="13" t="s">
        <v>10</v>
      </c>
      <c r="D7" s="13" t="s">
        <v>10</v>
      </c>
      <c r="E7" s="13" t="s">
        <v>11</v>
      </c>
      <c r="F7" s="13" t="s">
        <v>12</v>
      </c>
      <c r="G7" s="13" t="s">
        <v>11</v>
      </c>
      <c r="H7" s="13" t="s">
        <v>10</v>
      </c>
      <c r="I7" s="13" t="s">
        <v>10</v>
      </c>
    </row>
    <row r="8" spans="1:11" ht="15" x14ac:dyDescent="0.25">
      <c r="A8" s="1" t="s">
        <v>13</v>
      </c>
      <c r="C8" s="14">
        <v>16012995673</v>
      </c>
      <c r="D8" s="14">
        <f>4367655444+1882720</f>
        <v>4369538164</v>
      </c>
      <c r="E8" s="14"/>
      <c r="F8" s="14"/>
      <c r="G8" s="14"/>
      <c r="H8" s="15"/>
      <c r="I8" s="15">
        <f>SUM(C8:G8)</f>
        <v>20382533837</v>
      </c>
    </row>
    <row r="9" spans="1:11" ht="15" x14ac:dyDescent="0.25">
      <c r="A9" s="1" t="s">
        <v>14</v>
      </c>
      <c r="B9" s="16" t="s">
        <v>15</v>
      </c>
      <c r="C9" s="14">
        <v>13030234598</v>
      </c>
      <c r="D9" s="14">
        <f>3558998436+129907</f>
        <v>3559128343</v>
      </c>
      <c r="E9" s="14"/>
      <c r="F9" s="14"/>
      <c r="G9" s="14"/>
      <c r="H9" s="15">
        <f>SUM(C9:G9)</f>
        <v>16589362941</v>
      </c>
      <c r="I9" s="15"/>
      <c r="J9" s="17"/>
    </row>
    <row r="10" spans="1:11" ht="15" x14ac:dyDescent="0.25">
      <c r="A10" s="1" t="s">
        <v>16</v>
      </c>
      <c r="B10" s="16" t="s">
        <v>17</v>
      </c>
      <c r="C10" s="14">
        <v>300610133</v>
      </c>
      <c r="D10" s="14">
        <f>30217454+332837</f>
        <v>30550291</v>
      </c>
      <c r="E10" s="14"/>
      <c r="F10" s="14"/>
      <c r="G10" s="14"/>
      <c r="H10" s="15">
        <f>SUM(C10:G10)</f>
        <v>331160424</v>
      </c>
      <c r="I10" s="15"/>
      <c r="K10" s="1" t="s">
        <v>18</v>
      </c>
    </row>
    <row r="11" spans="1:11" ht="15" x14ac:dyDescent="0.25">
      <c r="A11" s="1" t="s">
        <v>19</v>
      </c>
      <c r="B11" s="16" t="s">
        <v>20</v>
      </c>
      <c r="C11" s="14">
        <v>10199796</v>
      </c>
      <c r="D11" s="14">
        <v>7497165</v>
      </c>
      <c r="E11" s="14"/>
      <c r="F11" s="14"/>
      <c r="G11" s="14"/>
      <c r="H11" s="15">
        <f>SUM(C11:G11)</f>
        <v>17696961</v>
      </c>
      <c r="I11" s="15"/>
      <c r="J11" s="1" t="s">
        <v>21</v>
      </c>
      <c r="K11" s="1" t="s">
        <v>22</v>
      </c>
    </row>
    <row r="12" spans="1:11" ht="15" x14ac:dyDescent="0.25">
      <c r="A12" s="1" t="s">
        <v>23</v>
      </c>
      <c r="B12" s="16" t="s">
        <v>24</v>
      </c>
      <c r="C12" s="14"/>
      <c r="D12" s="14">
        <f>8881+10408</f>
        <v>19289</v>
      </c>
      <c r="E12" s="14"/>
      <c r="F12" s="14"/>
      <c r="G12" s="14"/>
      <c r="H12" s="15">
        <f>SUM(C12:G12)</f>
        <v>19289</v>
      </c>
      <c r="I12" s="15"/>
      <c r="J12" s="17">
        <f>H12+H135+H150+H151</f>
        <v>200453675</v>
      </c>
      <c r="K12" s="18">
        <f>H12/$J$12</f>
        <v>9.6226721710140757E-5</v>
      </c>
    </row>
    <row r="13" spans="1:11" ht="15" x14ac:dyDescent="0.25">
      <c r="B13" s="16"/>
      <c r="C13" s="14"/>
      <c r="D13" s="14"/>
      <c r="E13" s="14"/>
      <c r="F13" s="14"/>
      <c r="G13" s="14"/>
      <c r="H13" s="15"/>
      <c r="I13" s="15"/>
      <c r="J13" s="18"/>
    </row>
    <row r="14" spans="1:11" ht="15" x14ac:dyDescent="0.25">
      <c r="C14" s="14"/>
      <c r="D14" s="14"/>
      <c r="E14" s="14"/>
      <c r="F14" s="14"/>
      <c r="G14" s="14"/>
      <c r="H14" s="15"/>
      <c r="I14" s="15"/>
    </row>
    <row r="15" spans="1:11" ht="15" x14ac:dyDescent="0.25">
      <c r="A15" s="1" t="s">
        <v>25</v>
      </c>
      <c r="C15" s="14">
        <v>90030161</v>
      </c>
      <c r="D15" s="14">
        <f>60083457+1563346</f>
        <v>61646803</v>
      </c>
      <c r="E15" s="14"/>
      <c r="F15" s="14"/>
      <c r="G15" s="14"/>
      <c r="H15" s="15"/>
      <c r="I15" s="15">
        <f>SUM(C15:G15)</f>
        <v>151676964</v>
      </c>
    </row>
    <row r="16" spans="1:11" ht="15" x14ac:dyDescent="0.25">
      <c r="A16" s="1" t="s">
        <v>26</v>
      </c>
      <c r="B16" s="16" t="s">
        <v>27</v>
      </c>
      <c r="C16" s="14">
        <v>3201152</v>
      </c>
      <c r="D16" s="14">
        <f>4126956+205</f>
        <v>4127161</v>
      </c>
      <c r="E16" s="14"/>
      <c r="F16" s="14"/>
      <c r="G16" s="14" t="s">
        <v>224</v>
      </c>
      <c r="H16" s="15">
        <f>SUM(C16:G16)</f>
        <v>7328313</v>
      </c>
      <c r="I16" s="15"/>
    </row>
    <row r="17" spans="1:11" ht="15" x14ac:dyDescent="0.25">
      <c r="C17" s="14"/>
      <c r="D17" s="14"/>
      <c r="E17" s="14"/>
      <c r="F17" s="14"/>
      <c r="G17" s="14"/>
      <c r="H17" s="15"/>
      <c r="I17" s="15"/>
    </row>
    <row r="18" spans="1:11" ht="15" x14ac:dyDescent="0.25">
      <c r="A18" s="1" t="s">
        <v>28</v>
      </c>
      <c r="C18" s="14">
        <v>818901562</v>
      </c>
      <c r="D18" s="14">
        <v>589117641</v>
      </c>
      <c r="E18" s="14">
        <v>86535614</v>
      </c>
      <c r="F18" s="14">
        <v>19827632</v>
      </c>
      <c r="G18" s="14"/>
      <c r="H18" s="15"/>
      <c r="I18" s="15">
        <f>SUM(C18:G18)</f>
        <v>1514382449</v>
      </c>
      <c r="J18" s="17"/>
    </row>
    <row r="19" spans="1:11" ht="15" x14ac:dyDescent="0.25">
      <c r="A19" s="1" t="s">
        <v>29</v>
      </c>
      <c r="B19" s="16" t="s">
        <v>30</v>
      </c>
      <c r="C19" s="14">
        <v>9712163</v>
      </c>
      <c r="D19" s="14">
        <v>3557382</v>
      </c>
      <c r="E19" s="14"/>
      <c r="F19" s="14"/>
      <c r="G19" s="14"/>
      <c r="H19" s="15">
        <f>SUM(C19:G19)</f>
        <v>13269545</v>
      </c>
      <c r="I19" s="15"/>
    </row>
    <row r="20" spans="1:11" ht="15" x14ac:dyDescent="0.25">
      <c r="A20" s="1" t="s">
        <v>31</v>
      </c>
      <c r="B20" s="16" t="s">
        <v>32</v>
      </c>
      <c r="C20" s="14">
        <v>5813700</v>
      </c>
      <c r="D20" s="14">
        <v>2936688</v>
      </c>
      <c r="E20" s="14"/>
      <c r="F20" s="14"/>
      <c r="G20" s="14"/>
      <c r="H20" s="15">
        <f>SUM(C20:G20)</f>
        <v>8750388</v>
      </c>
      <c r="I20" s="15"/>
    </row>
    <row r="21" spans="1:11" ht="15" x14ac:dyDescent="0.25">
      <c r="A21" s="1" t="s">
        <v>33</v>
      </c>
      <c r="B21" s="16" t="s">
        <v>34</v>
      </c>
      <c r="C21" s="14">
        <v>2074862</v>
      </c>
      <c r="D21" s="14">
        <v>1223395</v>
      </c>
      <c r="E21" s="14"/>
      <c r="F21" s="14"/>
      <c r="G21" s="14"/>
      <c r="H21" s="15">
        <f>SUM(C21:G21)</f>
        <v>3298257</v>
      </c>
      <c r="I21" s="15"/>
    </row>
    <row r="22" spans="1:11" ht="15" x14ac:dyDescent="0.25">
      <c r="A22" s="1" t="s">
        <v>35</v>
      </c>
      <c r="B22" s="16" t="s">
        <v>27</v>
      </c>
      <c r="C22" s="14">
        <v>591294549</v>
      </c>
      <c r="D22" s="14">
        <v>240393746</v>
      </c>
      <c r="E22" s="14"/>
      <c r="F22" s="14"/>
      <c r="G22" s="14"/>
      <c r="H22" s="15">
        <f>SUM(C22:G22)</f>
        <v>831688295</v>
      </c>
      <c r="I22" s="15"/>
    </row>
    <row r="23" spans="1:11" ht="15" x14ac:dyDescent="0.25">
      <c r="C23" s="14"/>
      <c r="D23" s="14"/>
      <c r="E23" s="14"/>
      <c r="F23" s="14"/>
      <c r="G23" s="14"/>
      <c r="H23" s="15"/>
      <c r="I23" s="15"/>
    </row>
    <row r="24" spans="1:11" ht="15" x14ac:dyDescent="0.25">
      <c r="A24" s="1" t="s">
        <v>36</v>
      </c>
      <c r="C24" s="14">
        <v>170448850</v>
      </c>
      <c r="D24" s="14">
        <v>223348042</v>
      </c>
      <c r="E24" s="14"/>
      <c r="F24" s="14"/>
      <c r="G24" s="14"/>
      <c r="H24" s="15"/>
      <c r="I24" s="15">
        <f>SUM(C24:G24)</f>
        <v>393796892</v>
      </c>
    </row>
    <row r="25" spans="1:11" ht="15" x14ac:dyDescent="0.25">
      <c r="A25" s="1" t="s">
        <v>37</v>
      </c>
      <c r="B25" s="16" t="s">
        <v>38</v>
      </c>
      <c r="C25" s="14">
        <v>85752324</v>
      </c>
      <c r="D25" s="14">
        <v>59578670</v>
      </c>
      <c r="E25" s="14"/>
      <c r="F25" s="14"/>
      <c r="G25" s="14"/>
      <c r="H25" s="15">
        <f>SUM(C25:G25)</f>
        <v>145330994</v>
      </c>
      <c r="I25" s="15"/>
    </row>
    <row r="26" spans="1:11" ht="15" x14ac:dyDescent="0.25">
      <c r="A26" s="1" t="s">
        <v>39</v>
      </c>
      <c r="B26" s="16" t="s">
        <v>40</v>
      </c>
      <c r="C26" s="14">
        <v>13196295</v>
      </c>
      <c r="D26" s="14">
        <v>34232416</v>
      </c>
      <c r="E26" s="14"/>
      <c r="F26" s="14"/>
      <c r="G26" s="14"/>
      <c r="H26" s="15">
        <f>SUM(C26:G26)</f>
        <v>47428711</v>
      </c>
      <c r="I26" s="15"/>
    </row>
    <row r="27" spans="1:11" ht="15" x14ac:dyDescent="0.25">
      <c r="C27" s="14"/>
      <c r="D27" s="14"/>
      <c r="E27" s="14"/>
      <c r="F27" s="14"/>
      <c r="G27" s="14"/>
      <c r="H27" s="15"/>
      <c r="I27" s="15"/>
    </row>
    <row r="28" spans="1:11" ht="15" x14ac:dyDescent="0.25">
      <c r="A28" s="1" t="s">
        <v>41</v>
      </c>
      <c r="C28" s="14">
        <v>467827303</v>
      </c>
      <c r="D28" s="14">
        <v>222140778</v>
      </c>
      <c r="E28" s="14">
        <v>42426117</v>
      </c>
      <c r="F28" s="14">
        <v>8514803</v>
      </c>
      <c r="G28" s="14"/>
      <c r="H28" s="15"/>
      <c r="I28" s="15">
        <f>SUM(C28:G28)</f>
        <v>740909001</v>
      </c>
      <c r="J28" s="17"/>
    </row>
    <row r="29" spans="1:11" ht="15" x14ac:dyDescent="0.25">
      <c r="A29" s="1" t="s">
        <v>42</v>
      </c>
      <c r="B29" s="16" t="s">
        <v>43</v>
      </c>
      <c r="C29" s="14">
        <v>250930440</v>
      </c>
      <c r="D29" s="14">
        <v>47486600</v>
      </c>
      <c r="E29" s="14"/>
      <c r="F29" s="14"/>
      <c r="G29" s="14"/>
      <c r="H29" s="15">
        <f>C29+D29</f>
        <v>298417040</v>
      </c>
      <c r="I29" s="15"/>
    </row>
    <row r="30" spans="1:11" ht="15" x14ac:dyDescent="0.25">
      <c r="A30" s="1" t="s">
        <v>44</v>
      </c>
      <c r="B30" s="16" t="s">
        <v>38</v>
      </c>
      <c r="C30" s="14">
        <v>10468898</v>
      </c>
      <c r="D30" s="14">
        <v>5111208</v>
      </c>
      <c r="F30" s="14"/>
      <c r="G30" s="14"/>
      <c r="H30" s="15">
        <f>SUM(C30:G30)</f>
        <v>15580106</v>
      </c>
      <c r="I30" s="15"/>
      <c r="K30" s="19"/>
    </row>
    <row r="31" spans="1:11" ht="15" x14ac:dyDescent="0.25">
      <c r="A31" s="1" t="s">
        <v>45</v>
      </c>
      <c r="B31" s="16" t="s">
        <v>40</v>
      </c>
      <c r="C31" s="14">
        <v>13945508</v>
      </c>
      <c r="D31" s="14">
        <v>6150458</v>
      </c>
      <c r="E31" s="14"/>
      <c r="F31" s="14"/>
      <c r="G31" s="14"/>
      <c r="H31" s="15">
        <f t="shared" ref="H31:H34" si="0">SUM(C31:G31)</f>
        <v>20095966</v>
      </c>
      <c r="I31" s="15"/>
    </row>
    <row r="32" spans="1:11" ht="15" x14ac:dyDescent="0.25">
      <c r="A32" s="1" t="s">
        <v>46</v>
      </c>
      <c r="B32" s="16" t="s">
        <v>47</v>
      </c>
      <c r="C32" s="14">
        <v>1738235</v>
      </c>
      <c r="D32" s="14">
        <v>1017826</v>
      </c>
      <c r="E32" s="14"/>
      <c r="F32" s="14"/>
      <c r="G32" s="14"/>
      <c r="H32" s="15">
        <f t="shared" si="0"/>
        <v>2756061</v>
      </c>
      <c r="I32" s="15"/>
    </row>
    <row r="33" spans="1:9" ht="15" x14ac:dyDescent="0.25">
      <c r="A33" s="1" t="s">
        <v>48</v>
      </c>
      <c r="B33" s="16" t="s">
        <v>49</v>
      </c>
      <c r="C33" s="14">
        <v>66198769</v>
      </c>
      <c r="D33" s="14">
        <v>36869920</v>
      </c>
      <c r="E33" s="14"/>
      <c r="F33" s="14"/>
      <c r="G33" s="14"/>
      <c r="H33" s="15">
        <f t="shared" si="0"/>
        <v>103068689</v>
      </c>
      <c r="I33" s="15"/>
    </row>
    <row r="34" spans="1:9" ht="15" x14ac:dyDescent="0.25">
      <c r="A34" s="1" t="s">
        <v>50</v>
      </c>
      <c r="B34" s="16" t="s">
        <v>51</v>
      </c>
      <c r="C34" s="14">
        <v>8127021</v>
      </c>
      <c r="D34" s="14">
        <v>3914656</v>
      </c>
      <c r="E34" s="14"/>
      <c r="F34" s="14"/>
      <c r="G34" s="14"/>
      <c r="H34" s="15">
        <f t="shared" si="0"/>
        <v>12041677</v>
      </c>
      <c r="I34" s="15"/>
    </row>
    <row r="35" spans="1:9" ht="15" x14ac:dyDescent="0.25">
      <c r="C35" s="14"/>
      <c r="D35" s="14"/>
      <c r="E35" s="14"/>
      <c r="F35" s="14"/>
      <c r="G35" s="14"/>
      <c r="H35" s="15"/>
      <c r="I35" s="15"/>
    </row>
    <row r="36" spans="1:9" ht="15" x14ac:dyDescent="0.25">
      <c r="A36" s="1" t="s">
        <v>52</v>
      </c>
      <c r="C36" s="14">
        <v>697798639</v>
      </c>
      <c r="D36" s="14">
        <f>346039520+33772708</f>
        <v>379812228</v>
      </c>
      <c r="E36" s="14"/>
      <c r="F36" s="14"/>
      <c r="G36" s="14"/>
      <c r="H36" s="15"/>
      <c r="I36" s="15">
        <f>SUM(C36:G36)</f>
        <v>1077610867</v>
      </c>
    </row>
    <row r="37" spans="1:9" ht="15" x14ac:dyDescent="0.25">
      <c r="A37" s="1" t="s">
        <v>53</v>
      </c>
      <c r="B37" s="16" t="s">
        <v>27</v>
      </c>
      <c r="C37" s="14">
        <v>560530405</v>
      </c>
      <c r="D37" s="14">
        <f>181978092+37884</f>
        <v>182015976</v>
      </c>
      <c r="E37" s="14"/>
      <c r="F37" s="14"/>
      <c r="G37" s="14"/>
      <c r="H37" s="15">
        <f>SUM(C37:G37)</f>
        <v>742546381</v>
      </c>
      <c r="I37" s="15"/>
    </row>
    <row r="38" spans="1:9" ht="15" x14ac:dyDescent="0.25">
      <c r="A38" s="1" t="s">
        <v>54</v>
      </c>
      <c r="B38" s="16" t="s">
        <v>55</v>
      </c>
      <c r="C38" s="14">
        <v>630926</v>
      </c>
      <c r="D38" s="14">
        <v>159721</v>
      </c>
      <c r="E38" s="14"/>
      <c r="F38" s="14"/>
      <c r="G38" s="14"/>
      <c r="H38" s="15">
        <f>SUM(C38:G38)</f>
        <v>790647</v>
      </c>
      <c r="I38" s="15"/>
    </row>
    <row r="39" spans="1:9" ht="15" x14ac:dyDescent="0.25">
      <c r="A39" s="1" t="s">
        <v>56</v>
      </c>
      <c r="B39" s="16" t="s">
        <v>15</v>
      </c>
      <c r="C39" s="14">
        <v>5219383</v>
      </c>
      <c r="D39" s="14">
        <f>3768594+5190</f>
        <v>3773784</v>
      </c>
      <c r="E39" s="14"/>
      <c r="F39" s="14"/>
      <c r="G39" s="14"/>
      <c r="H39" s="15">
        <f>SUM(C39:G39)</f>
        <v>8993167</v>
      </c>
      <c r="I39" s="15"/>
    </row>
    <row r="40" spans="1:9" ht="15" x14ac:dyDescent="0.25">
      <c r="A40" s="1" t="s">
        <v>57</v>
      </c>
      <c r="B40" s="16" t="s">
        <v>58</v>
      </c>
      <c r="C40" s="14">
        <v>5730440</v>
      </c>
      <c r="D40" s="14">
        <f>3670922+4000</f>
        <v>3674922</v>
      </c>
      <c r="E40" s="14"/>
      <c r="F40" s="14"/>
      <c r="G40" s="14"/>
      <c r="H40" s="15">
        <f>SUM(C40:G40)</f>
        <v>9405362</v>
      </c>
      <c r="I40" s="15"/>
    </row>
    <row r="41" spans="1:9" ht="15" x14ac:dyDescent="0.25">
      <c r="C41" s="14"/>
      <c r="D41" s="14"/>
      <c r="E41" s="14"/>
      <c r="F41" s="14"/>
      <c r="G41" s="14"/>
      <c r="H41" s="15"/>
      <c r="I41" s="15"/>
    </row>
    <row r="42" spans="1:9" ht="15" x14ac:dyDescent="0.25">
      <c r="A42" s="1" t="s">
        <v>59</v>
      </c>
      <c r="C42" s="14">
        <v>19590558</v>
      </c>
      <c r="D42" s="14">
        <f>84210706+766521</f>
        <v>84977227</v>
      </c>
      <c r="E42" s="14"/>
      <c r="F42" s="14"/>
      <c r="G42" s="14"/>
      <c r="H42" s="15"/>
      <c r="I42" s="15">
        <f>SUM(C42:G42)</f>
        <v>104567785</v>
      </c>
    </row>
    <row r="43" spans="1:9" ht="15" x14ac:dyDescent="0.25">
      <c r="A43" s="1" t="s">
        <v>60</v>
      </c>
      <c r="B43" s="16" t="s">
        <v>34</v>
      </c>
      <c r="C43" s="14">
        <v>7578582</v>
      </c>
      <c r="D43" s="14">
        <f>7898278+2700</f>
        <v>7900978</v>
      </c>
      <c r="E43" s="14"/>
      <c r="F43" s="14"/>
      <c r="G43" s="14"/>
      <c r="H43" s="15">
        <f>SUM(C43:G43)</f>
        <v>15479560</v>
      </c>
      <c r="I43" s="15"/>
    </row>
    <row r="44" spans="1:9" ht="15.75" customHeight="1" x14ac:dyDescent="0.25">
      <c r="C44" s="14"/>
      <c r="D44" s="14"/>
      <c r="E44" s="14"/>
      <c r="F44" s="14"/>
      <c r="G44" s="14"/>
      <c r="H44" s="15"/>
      <c r="I44" s="15"/>
    </row>
    <row r="45" spans="1:9" ht="15" x14ac:dyDescent="0.25">
      <c r="A45" s="1" t="s">
        <v>61</v>
      </c>
      <c r="C45" s="14">
        <v>4116382616</v>
      </c>
      <c r="D45" s="14">
        <f>1457134748+33911564</f>
        <v>1491046312</v>
      </c>
      <c r="E45" s="14"/>
      <c r="F45" s="14"/>
      <c r="G45" s="14"/>
      <c r="H45" s="15"/>
      <c r="I45" s="15">
        <f>SUM(C45:G45)</f>
        <v>5607428928</v>
      </c>
    </row>
    <row r="46" spans="1:9" ht="15" x14ac:dyDescent="0.25">
      <c r="A46" s="1" t="s">
        <v>62</v>
      </c>
      <c r="B46" s="16" t="s">
        <v>58</v>
      </c>
      <c r="C46" s="14">
        <v>2243157741</v>
      </c>
      <c r="D46" s="14">
        <f>764883988+331692</f>
        <v>765215680</v>
      </c>
      <c r="E46" s="14"/>
      <c r="F46" s="14"/>
      <c r="G46" s="14"/>
      <c r="H46" s="15">
        <f>SUM(C46:G46)</f>
        <v>3008373421</v>
      </c>
      <c r="I46" s="15"/>
    </row>
    <row r="47" spans="1:9" ht="15" x14ac:dyDescent="0.25">
      <c r="A47" s="1" t="s">
        <v>63</v>
      </c>
      <c r="B47" s="16" t="s">
        <v>49</v>
      </c>
      <c r="C47" s="14">
        <v>10360983</v>
      </c>
      <c r="D47" s="14">
        <f>12102069+216245</f>
        <v>12318314</v>
      </c>
      <c r="E47" s="14"/>
      <c r="F47" s="14"/>
      <c r="G47" s="14"/>
      <c r="H47" s="15">
        <f>SUM(C47:G47)</f>
        <v>22679297</v>
      </c>
      <c r="I47" s="15"/>
    </row>
    <row r="48" spans="1:9" ht="15" x14ac:dyDescent="0.25">
      <c r="A48" s="1" t="s">
        <v>64</v>
      </c>
      <c r="B48" s="16" t="s">
        <v>65</v>
      </c>
      <c r="C48" s="14">
        <v>67795204</v>
      </c>
      <c r="D48" s="14">
        <f>12027916+847829</f>
        <v>12875745</v>
      </c>
      <c r="E48" s="14"/>
      <c r="F48" s="14"/>
      <c r="G48" s="14"/>
      <c r="H48" s="15">
        <f>SUM(C48:G48)</f>
        <v>80670949</v>
      </c>
      <c r="I48" s="15"/>
    </row>
    <row r="49" spans="1:10" ht="15" x14ac:dyDescent="0.25">
      <c r="A49" s="1" t="s">
        <v>66</v>
      </c>
      <c r="B49" s="16" t="s">
        <v>67</v>
      </c>
      <c r="C49" s="14">
        <v>254450897</v>
      </c>
      <c r="D49" s="14">
        <f>116878390+206374</f>
        <v>117084764</v>
      </c>
      <c r="E49" s="14"/>
      <c r="F49" s="14"/>
      <c r="G49" s="14"/>
      <c r="H49" s="15">
        <f>SUM(C49:G49)</f>
        <v>371535661</v>
      </c>
      <c r="I49" s="15"/>
    </row>
    <row r="50" spans="1:10" s="16" customFormat="1" ht="15" x14ac:dyDescent="0.25">
      <c r="A50" s="20" t="s">
        <v>68</v>
      </c>
      <c r="B50" s="16">
        <v>18</v>
      </c>
      <c r="C50" s="21">
        <v>61650841</v>
      </c>
      <c r="D50" s="14">
        <f>22958705+14993</f>
        <v>22973698</v>
      </c>
      <c r="E50" s="21"/>
      <c r="F50" s="21"/>
      <c r="G50" s="21"/>
      <c r="H50" s="15">
        <f>SUM(C50:G50)</f>
        <v>84624539</v>
      </c>
      <c r="I50" s="21"/>
    </row>
    <row r="51" spans="1:10" x14ac:dyDescent="0.2">
      <c r="A51" s="22"/>
      <c r="B51" s="23"/>
      <c r="C51" s="24"/>
      <c r="D51" s="24"/>
      <c r="E51" s="24"/>
      <c r="F51" s="24"/>
      <c r="G51" s="24"/>
      <c r="H51" s="25" t="s">
        <v>1</v>
      </c>
      <c r="I51" s="25" t="s">
        <v>1</v>
      </c>
    </row>
    <row r="52" spans="1:10" x14ac:dyDescent="0.2">
      <c r="A52" s="26"/>
      <c r="B52" s="11"/>
      <c r="C52" s="27" t="s">
        <v>2</v>
      </c>
      <c r="D52" s="27" t="s">
        <v>3</v>
      </c>
      <c r="E52" s="2" t="s">
        <v>4</v>
      </c>
      <c r="F52" s="2"/>
      <c r="G52" s="27" t="s">
        <v>5</v>
      </c>
      <c r="H52" s="27" t="s">
        <v>6</v>
      </c>
      <c r="I52" s="27" t="s">
        <v>7</v>
      </c>
    </row>
    <row r="53" spans="1:10" x14ac:dyDescent="0.2">
      <c r="A53" s="12" t="s">
        <v>8</v>
      </c>
      <c r="B53" s="13" t="s">
        <v>9</v>
      </c>
      <c r="C53" s="28" t="s">
        <v>10</v>
      </c>
      <c r="D53" s="28" t="s">
        <v>10</v>
      </c>
      <c r="E53" s="28" t="s">
        <v>11</v>
      </c>
      <c r="F53" s="28" t="s">
        <v>12</v>
      </c>
      <c r="G53" s="28" t="s">
        <v>11</v>
      </c>
      <c r="H53" s="28" t="s">
        <v>10</v>
      </c>
      <c r="I53" s="28" t="s">
        <v>10</v>
      </c>
    </row>
    <row r="54" spans="1:10" ht="15" x14ac:dyDescent="0.25">
      <c r="A54" s="1" t="s">
        <v>69</v>
      </c>
      <c r="C54" s="14">
        <v>1008322304</v>
      </c>
      <c r="D54" s="14">
        <v>3673863185</v>
      </c>
      <c r="E54" s="14">
        <v>13659279756</v>
      </c>
      <c r="F54" s="14">
        <v>3158620269.9000001</v>
      </c>
      <c r="G54" s="14"/>
      <c r="H54" s="15"/>
      <c r="I54" s="15">
        <f>SUM(C54:G54)</f>
        <v>21500085514.900002</v>
      </c>
      <c r="J54" s="17"/>
    </row>
    <row r="55" spans="1:10" ht="15" x14ac:dyDescent="0.25">
      <c r="A55" s="1" t="s">
        <v>70</v>
      </c>
      <c r="B55" s="16" t="s">
        <v>67</v>
      </c>
      <c r="C55" s="14">
        <v>196442636</v>
      </c>
      <c r="D55" s="14">
        <v>366022406</v>
      </c>
      <c r="E55" s="14">
        <v>4169</v>
      </c>
      <c r="F55" s="14">
        <v>832</v>
      </c>
      <c r="G55" s="14"/>
      <c r="H55" s="15">
        <f>SUM(C55:G55)</f>
        <v>562470043</v>
      </c>
      <c r="I55" s="15"/>
      <c r="J55" s="17"/>
    </row>
    <row r="56" spans="1:10" ht="15" x14ac:dyDescent="0.25">
      <c r="A56" s="1" t="s">
        <v>71</v>
      </c>
      <c r="B56" s="16" t="s">
        <v>72</v>
      </c>
      <c r="C56" s="14">
        <v>526783806</v>
      </c>
      <c r="D56" s="14">
        <v>326837156</v>
      </c>
      <c r="E56" s="14">
        <v>7489272</v>
      </c>
      <c r="F56" s="14">
        <v>1726086</v>
      </c>
      <c r="G56" s="14"/>
      <c r="H56" s="15">
        <f>SUM(C56:G56)</f>
        <v>862836320</v>
      </c>
      <c r="I56" s="15"/>
      <c r="J56" s="17"/>
    </row>
    <row r="57" spans="1:10" ht="15" x14ac:dyDescent="0.25">
      <c r="A57" s="1" t="s">
        <v>73</v>
      </c>
      <c r="B57" s="16" t="s">
        <v>74</v>
      </c>
      <c r="C57" s="14">
        <v>937357</v>
      </c>
      <c r="D57" s="14">
        <v>233574</v>
      </c>
      <c r="E57" s="14"/>
      <c r="F57" s="14"/>
      <c r="G57" s="14"/>
      <c r="H57" s="15">
        <f>SUM(C57:G57)</f>
        <v>1170931</v>
      </c>
      <c r="I57" s="15"/>
    </row>
    <row r="58" spans="1:10" ht="15" x14ac:dyDescent="0.25">
      <c r="A58" s="1" t="s">
        <v>75</v>
      </c>
      <c r="B58" s="16" t="s">
        <v>76</v>
      </c>
      <c r="C58" s="14">
        <v>10404861</v>
      </c>
      <c r="D58" s="14">
        <v>8430344</v>
      </c>
      <c r="E58" s="14"/>
      <c r="F58" s="14"/>
      <c r="G58" s="14"/>
      <c r="H58" s="15">
        <f>SUM(C58:G58)</f>
        <v>18835205</v>
      </c>
      <c r="I58" s="15"/>
    </row>
    <row r="59" spans="1:10" ht="15" x14ac:dyDescent="0.25">
      <c r="C59" s="14"/>
      <c r="D59" s="14"/>
      <c r="E59" s="14"/>
      <c r="F59" s="14"/>
      <c r="G59" s="14"/>
      <c r="H59" s="15"/>
      <c r="I59" s="15"/>
    </row>
    <row r="60" spans="1:10" ht="15" x14ac:dyDescent="0.25">
      <c r="A60" s="1" t="s">
        <v>77</v>
      </c>
      <c r="C60" s="14">
        <v>486718651</v>
      </c>
      <c r="D60" s="14">
        <v>223710427</v>
      </c>
      <c r="E60" s="14"/>
      <c r="F60" s="14"/>
      <c r="G60" s="14">
        <f>48960264+93684642</f>
        <v>142644906</v>
      </c>
      <c r="H60" s="15"/>
      <c r="I60" s="15">
        <f>SUM(C60:G60)</f>
        <v>853073984</v>
      </c>
      <c r="J60" s="17"/>
    </row>
    <row r="61" spans="1:10" ht="15" x14ac:dyDescent="0.25">
      <c r="A61" s="1" t="s">
        <v>78</v>
      </c>
      <c r="B61" s="16" t="s">
        <v>79</v>
      </c>
      <c r="C61" s="14">
        <v>18324204</v>
      </c>
      <c r="D61" s="14">
        <v>4354061</v>
      </c>
      <c r="E61" s="14"/>
      <c r="F61" s="14"/>
      <c r="G61" s="14"/>
      <c r="H61" s="15">
        <f>SUM(C61:G61)</f>
        <v>22678265</v>
      </c>
      <c r="I61" s="15"/>
    </row>
    <row r="62" spans="1:10" ht="15" x14ac:dyDescent="0.25">
      <c r="A62" s="1" t="s">
        <v>80</v>
      </c>
      <c r="B62" s="16" t="s">
        <v>81</v>
      </c>
      <c r="C62" s="14">
        <v>11842853</v>
      </c>
      <c r="D62" s="14">
        <v>1354975</v>
      </c>
      <c r="E62" s="14"/>
      <c r="F62" s="14"/>
      <c r="G62" s="14"/>
      <c r="H62" s="15">
        <f>SUM(C62:G62)</f>
        <v>13197828</v>
      </c>
      <c r="I62" s="15"/>
    </row>
    <row r="63" spans="1:10" ht="15" x14ac:dyDescent="0.25">
      <c r="A63" s="1" t="s">
        <v>82</v>
      </c>
      <c r="B63" s="16" t="s">
        <v>83</v>
      </c>
      <c r="C63" s="14">
        <v>13666934</v>
      </c>
      <c r="D63" s="14">
        <v>3482580</v>
      </c>
      <c r="E63" s="14"/>
      <c r="F63" s="14"/>
      <c r="G63" s="14"/>
      <c r="H63" s="15">
        <f>SUM(C63:G63)</f>
        <v>17149514</v>
      </c>
      <c r="I63" s="15"/>
    </row>
    <row r="64" spans="1:10" ht="15" x14ac:dyDescent="0.25">
      <c r="A64" s="1" t="s">
        <v>84</v>
      </c>
      <c r="B64" s="16" t="s">
        <v>27</v>
      </c>
      <c r="C64" s="14">
        <v>160803348</v>
      </c>
      <c r="D64" s="14">
        <v>73844658</v>
      </c>
      <c r="E64" s="14"/>
      <c r="F64" s="14"/>
      <c r="G64" s="14"/>
      <c r="H64" s="15">
        <f>SUM(C64:G64)</f>
        <v>234648006</v>
      </c>
      <c r="I64" s="15"/>
    </row>
    <row r="65" spans="1:10" x14ac:dyDescent="0.2">
      <c r="C65" s="15"/>
      <c r="D65" s="15"/>
      <c r="E65" s="15"/>
      <c r="F65" s="15"/>
      <c r="G65" s="15"/>
      <c r="H65" s="15"/>
      <c r="I65" s="15"/>
    </row>
    <row r="66" spans="1:10" ht="15" x14ac:dyDescent="0.25">
      <c r="A66" s="1" t="s">
        <v>85</v>
      </c>
      <c r="C66" s="14">
        <v>41694012</v>
      </c>
      <c r="D66" s="14">
        <v>151719015</v>
      </c>
      <c r="E66" s="14">
        <v>0</v>
      </c>
      <c r="F66" s="14">
        <v>0</v>
      </c>
      <c r="G66" s="14"/>
      <c r="H66" s="15"/>
      <c r="I66" s="15">
        <f>SUM(C66:G66)</f>
        <v>193413027</v>
      </c>
    </row>
    <row r="67" spans="1:10" ht="15" x14ac:dyDescent="0.25">
      <c r="A67" s="1" t="s">
        <v>86</v>
      </c>
      <c r="B67" s="16" t="s">
        <v>30</v>
      </c>
      <c r="C67" s="14">
        <v>21502672</v>
      </c>
      <c r="D67" s="14">
        <v>31985340</v>
      </c>
      <c r="E67" s="14"/>
      <c r="F67" s="14"/>
      <c r="G67" s="14"/>
      <c r="H67" s="15">
        <f>SUM(C67:G67)</f>
        <v>53488012</v>
      </c>
      <c r="I67" s="15"/>
    </row>
    <row r="68" spans="1:10" ht="15" x14ac:dyDescent="0.25">
      <c r="A68" s="1" t="s">
        <v>87</v>
      </c>
      <c r="B68" s="16" t="s">
        <v>88</v>
      </c>
      <c r="C68" s="14">
        <v>2256417</v>
      </c>
      <c r="D68" s="14">
        <v>7995657</v>
      </c>
      <c r="E68" s="14"/>
      <c r="F68" s="14"/>
      <c r="G68" s="14"/>
      <c r="H68" s="15">
        <f>SUM(C68:G68)</f>
        <v>10252074</v>
      </c>
      <c r="I68" s="15"/>
    </row>
    <row r="69" spans="1:10" ht="15" x14ac:dyDescent="0.25">
      <c r="C69" s="14"/>
      <c r="D69" s="14"/>
      <c r="E69" s="14"/>
      <c r="F69" s="14"/>
      <c r="G69" s="14"/>
      <c r="H69" s="15"/>
      <c r="I69" s="15"/>
    </row>
    <row r="70" spans="1:10" ht="15" x14ac:dyDescent="0.25">
      <c r="A70" s="1" t="s">
        <v>89</v>
      </c>
      <c r="C70" s="14">
        <v>6074100</v>
      </c>
      <c r="D70" s="14">
        <f>53677466</f>
        <v>53677466</v>
      </c>
      <c r="E70" s="14">
        <v>17397557</v>
      </c>
      <c r="F70" s="14">
        <v>3807238.13</v>
      </c>
      <c r="G70" s="14"/>
      <c r="H70" s="15"/>
      <c r="I70" s="15">
        <f>SUM(C70:G70)</f>
        <v>80956361.129999995</v>
      </c>
      <c r="J70" s="17"/>
    </row>
    <row r="71" spans="1:10" ht="15" x14ac:dyDescent="0.25">
      <c r="A71" s="1" t="s">
        <v>90</v>
      </c>
      <c r="B71" s="16" t="s">
        <v>91</v>
      </c>
      <c r="C71" s="14">
        <v>641613</v>
      </c>
      <c r="D71" s="14">
        <f>621382</f>
        <v>621382</v>
      </c>
      <c r="E71" s="14"/>
      <c r="F71" s="14"/>
      <c r="G71" s="14"/>
      <c r="H71" s="15">
        <f>SUM(C71:G71)</f>
        <v>1262995</v>
      </c>
      <c r="I71" s="15"/>
    </row>
    <row r="72" spans="1:10" ht="15" x14ac:dyDescent="0.25">
      <c r="A72" s="1" t="s">
        <v>92</v>
      </c>
      <c r="B72" s="16" t="s">
        <v>38</v>
      </c>
      <c r="C72" s="14">
        <v>1515834</v>
      </c>
      <c r="D72" s="14">
        <f>1105050</f>
        <v>1105050</v>
      </c>
      <c r="E72" s="14"/>
      <c r="F72" s="14"/>
      <c r="G72" s="14"/>
      <c r="H72" s="15">
        <f>SUM(C72:G72)</f>
        <v>2620884</v>
      </c>
      <c r="I72" s="15"/>
    </row>
    <row r="73" spans="1:10" ht="15" x14ac:dyDescent="0.25">
      <c r="C73" s="14"/>
      <c r="D73" s="14"/>
      <c r="E73" s="14"/>
      <c r="F73" s="14"/>
      <c r="G73" s="14"/>
      <c r="H73" s="15"/>
      <c r="I73" s="15"/>
    </row>
    <row r="74" spans="1:10" ht="15" x14ac:dyDescent="0.25">
      <c r="A74" s="1" t="s">
        <v>93</v>
      </c>
      <c r="C74" s="14">
        <v>28964724</v>
      </c>
      <c r="D74" s="14">
        <f>159044244+3872508</f>
        <v>162916752</v>
      </c>
      <c r="E74" s="14"/>
      <c r="F74" s="14"/>
      <c r="G74" s="14"/>
      <c r="H74" s="15"/>
      <c r="I74" s="15">
        <f>SUM(C74:G74)</f>
        <v>191881476</v>
      </c>
    </row>
    <row r="75" spans="1:10" ht="15" x14ac:dyDescent="0.25">
      <c r="A75" s="1" t="s">
        <v>94</v>
      </c>
      <c r="B75" s="16" t="s">
        <v>27</v>
      </c>
      <c r="C75" s="14">
        <v>12494914</v>
      </c>
      <c r="D75" s="14">
        <f>26428660+15214</f>
        <v>26443874</v>
      </c>
      <c r="E75" s="14"/>
      <c r="F75" s="14"/>
      <c r="G75" s="14"/>
      <c r="H75" s="15">
        <f>SUM(C75:G75)</f>
        <v>38938788</v>
      </c>
      <c r="I75" s="15"/>
    </row>
    <row r="76" spans="1:10" ht="15" x14ac:dyDescent="0.25">
      <c r="A76" s="1" t="s">
        <v>95</v>
      </c>
      <c r="B76" s="16" t="s">
        <v>96</v>
      </c>
      <c r="C76" s="14">
        <v>927235</v>
      </c>
      <c r="D76" s="14">
        <v>337767</v>
      </c>
      <c r="E76" s="14"/>
      <c r="F76" s="14"/>
      <c r="G76" s="14"/>
      <c r="H76" s="15">
        <f>SUM(C76:G76)</f>
        <v>1265002</v>
      </c>
      <c r="I76" s="15"/>
    </row>
    <row r="77" spans="1:10" ht="15" x14ac:dyDescent="0.25">
      <c r="C77" s="14"/>
      <c r="D77" s="14"/>
      <c r="E77" s="14"/>
      <c r="F77" s="14"/>
      <c r="G77" s="14"/>
      <c r="H77" s="15"/>
      <c r="I77" s="15"/>
    </row>
    <row r="78" spans="1:10" ht="15" x14ac:dyDescent="0.25">
      <c r="A78" s="1" t="s">
        <v>97</v>
      </c>
      <c r="C78" s="14">
        <v>831024450</v>
      </c>
      <c r="D78" s="14">
        <f>2312131997+7605406</f>
        <v>2319737403</v>
      </c>
      <c r="E78" s="14">
        <v>17413897437</v>
      </c>
      <c r="F78" s="14">
        <v>4118480189.79</v>
      </c>
      <c r="G78" s="14"/>
      <c r="H78" s="15"/>
      <c r="I78" s="15">
        <f>SUM(C78:H78)</f>
        <v>24683139479.790001</v>
      </c>
      <c r="J78" s="17"/>
    </row>
    <row r="79" spans="1:10" ht="15" x14ac:dyDescent="0.25">
      <c r="A79" s="1" t="s">
        <v>98</v>
      </c>
      <c r="B79" s="16" t="s">
        <v>30</v>
      </c>
      <c r="C79" s="14">
        <v>25418624</v>
      </c>
      <c r="D79" s="14">
        <f>13258342+34</f>
        <v>13258376</v>
      </c>
      <c r="E79" s="14">
        <v>3647058</v>
      </c>
      <c r="F79" s="14">
        <v>744881</v>
      </c>
      <c r="G79" s="14"/>
      <c r="H79" s="15">
        <f>SUM(C79:G79)</f>
        <v>43068939</v>
      </c>
      <c r="I79" s="15"/>
    </row>
    <row r="80" spans="1:10" ht="15" x14ac:dyDescent="0.25">
      <c r="A80" s="1" t="s">
        <v>99</v>
      </c>
      <c r="B80" s="16" t="s">
        <v>67</v>
      </c>
      <c r="C80" s="14">
        <v>463692474</v>
      </c>
      <c r="D80" s="14">
        <f>279906463+4348</f>
        <v>279910811</v>
      </c>
      <c r="E80" s="14">
        <v>127826029</v>
      </c>
      <c r="F80" s="14">
        <v>27655181</v>
      </c>
      <c r="G80" s="14"/>
      <c r="H80" s="15">
        <f>SUM(C80:G80)</f>
        <v>899084495</v>
      </c>
      <c r="I80" s="15"/>
    </row>
    <row r="81" spans="1:14" ht="15" x14ac:dyDescent="0.25">
      <c r="A81" s="1" t="s">
        <v>100</v>
      </c>
      <c r="B81" s="16" t="s">
        <v>101</v>
      </c>
      <c r="C81" s="14">
        <v>14744442</v>
      </c>
      <c r="D81" s="14">
        <f>14678304</f>
        <v>14678304</v>
      </c>
      <c r="E81" s="14">
        <v>673727</v>
      </c>
      <c r="F81" s="14">
        <v>139158</v>
      </c>
      <c r="G81" s="14"/>
      <c r="H81" s="15">
        <f>SUM(C81:G81)</f>
        <v>30235631</v>
      </c>
      <c r="I81" s="15"/>
    </row>
    <row r="82" spans="1:14" ht="15" x14ac:dyDescent="0.25">
      <c r="A82" s="1" t="s">
        <v>102</v>
      </c>
      <c r="B82" s="16" t="s">
        <v>27</v>
      </c>
      <c r="C82" s="14">
        <v>94953933</v>
      </c>
      <c r="D82" s="14">
        <v>31017376</v>
      </c>
      <c r="E82" s="14"/>
      <c r="F82" s="14"/>
      <c r="G82" s="14"/>
      <c r="H82" s="15">
        <f>SUM(C82:G82)</f>
        <v>125971309</v>
      </c>
      <c r="I82" s="15"/>
    </row>
    <row r="83" spans="1:14" ht="15" x14ac:dyDescent="0.25">
      <c r="A83" s="1" t="s">
        <v>103</v>
      </c>
      <c r="B83" s="16" t="s">
        <v>104</v>
      </c>
      <c r="C83" s="14">
        <v>5179408</v>
      </c>
      <c r="D83" s="14">
        <v>4912888</v>
      </c>
      <c r="E83" s="14"/>
      <c r="F83" s="14"/>
      <c r="G83" s="14"/>
      <c r="H83" s="15">
        <f>SUM(C83:G83)</f>
        <v>10092296</v>
      </c>
      <c r="I83" s="15"/>
    </row>
    <row r="84" spans="1:14" ht="15" x14ac:dyDescent="0.25">
      <c r="C84" s="14"/>
      <c r="D84" s="14"/>
      <c r="E84" s="14"/>
      <c r="F84" s="14"/>
      <c r="G84" s="14"/>
      <c r="H84" s="15"/>
      <c r="I84" s="15"/>
    </row>
    <row r="85" spans="1:14" ht="15" x14ac:dyDescent="0.25">
      <c r="A85" s="1" t="s">
        <v>105</v>
      </c>
      <c r="C85" s="14">
        <v>1116383667</v>
      </c>
      <c r="D85" s="14">
        <f>486978816+4345055</f>
        <v>491323871</v>
      </c>
      <c r="E85" s="14"/>
      <c r="F85" s="14"/>
      <c r="G85" s="14"/>
      <c r="H85" s="15"/>
      <c r="I85" s="15">
        <f>SUM(C85:G85)</f>
        <v>1607707538</v>
      </c>
    </row>
    <row r="86" spans="1:14" ht="15" x14ac:dyDescent="0.25">
      <c r="A86" s="1" t="s">
        <v>106</v>
      </c>
      <c r="B86" s="16" t="s">
        <v>104</v>
      </c>
      <c r="C86" s="14">
        <v>24183334</v>
      </c>
      <c r="D86" s="14">
        <f>7026271+151</f>
        <v>7026422</v>
      </c>
      <c r="E86" s="14"/>
      <c r="F86" s="14"/>
      <c r="G86" s="14"/>
      <c r="H86" s="15">
        <f>SUM(C86:G86)</f>
        <v>31209756</v>
      </c>
      <c r="I86" s="15"/>
    </row>
    <row r="87" spans="1:14" ht="15" x14ac:dyDescent="0.25">
      <c r="A87" s="1" t="s">
        <v>107</v>
      </c>
      <c r="B87" s="16" t="s">
        <v>108</v>
      </c>
      <c r="C87" s="14">
        <v>10658373</v>
      </c>
      <c r="D87" s="14">
        <f>8652442+350</f>
        <v>8652792</v>
      </c>
      <c r="E87" s="14"/>
      <c r="F87" s="14"/>
      <c r="G87" s="14"/>
      <c r="H87" s="15">
        <f>SUM(C87:G87)</f>
        <v>19311165</v>
      </c>
      <c r="I87" s="15"/>
    </row>
    <row r="88" spans="1:14" ht="15" x14ac:dyDescent="0.25">
      <c r="A88" s="1" t="s">
        <v>109</v>
      </c>
      <c r="B88" s="16" t="s">
        <v>110</v>
      </c>
      <c r="C88" s="14">
        <v>2026355</v>
      </c>
      <c r="D88" s="14">
        <f>2952182+113</f>
        <v>2952295</v>
      </c>
      <c r="E88" s="14"/>
      <c r="F88" s="14"/>
      <c r="G88" s="14"/>
      <c r="H88" s="15">
        <f>SUM(C88:G88)</f>
        <v>4978650</v>
      </c>
      <c r="I88" s="15"/>
    </row>
    <row r="89" spans="1:14" ht="15" x14ac:dyDescent="0.25">
      <c r="A89" s="1" t="s">
        <v>111</v>
      </c>
      <c r="B89" s="16" t="s">
        <v>112</v>
      </c>
      <c r="C89" s="14">
        <f>465239843+177771</f>
        <v>465417614</v>
      </c>
      <c r="D89" s="14">
        <f>202187960+1141266</f>
        <v>203329226</v>
      </c>
      <c r="E89" s="14"/>
      <c r="F89" s="14"/>
      <c r="G89" s="14"/>
      <c r="H89" s="15">
        <f>SUM(C89:G89)</f>
        <v>668746840</v>
      </c>
      <c r="I89" s="15"/>
    </row>
    <row r="90" spans="1:14" ht="15" x14ac:dyDescent="0.25">
      <c r="A90" s="1" t="s">
        <v>113</v>
      </c>
      <c r="B90" s="16" t="s">
        <v>114</v>
      </c>
      <c r="C90" s="14">
        <v>36131737</v>
      </c>
      <c r="D90" s="14">
        <f>25117127+284</f>
        <v>25117411</v>
      </c>
      <c r="E90" s="14"/>
      <c r="F90" s="14"/>
      <c r="G90" s="14"/>
      <c r="H90" s="15">
        <f>SUM(C90:G90)</f>
        <v>61249148</v>
      </c>
      <c r="I90" s="15"/>
      <c r="L90" s="29"/>
      <c r="M90" s="29"/>
      <c r="N90" s="29"/>
    </row>
    <row r="91" spans="1:14" ht="15" x14ac:dyDescent="0.25">
      <c r="C91" s="14"/>
      <c r="D91" s="14"/>
      <c r="E91" s="14"/>
      <c r="F91" s="14"/>
      <c r="G91" s="14"/>
      <c r="H91" s="15"/>
      <c r="I91" s="15"/>
      <c r="L91" s="29"/>
      <c r="M91" s="29"/>
      <c r="N91" s="29"/>
    </row>
    <row r="92" spans="1:14" ht="15" x14ac:dyDescent="0.25">
      <c r="A92" s="1" t="s">
        <v>115</v>
      </c>
      <c r="B92" s="16" t="s">
        <v>27</v>
      </c>
      <c r="C92" s="14">
        <v>871146040</v>
      </c>
      <c r="D92" s="14">
        <v>125118093</v>
      </c>
      <c r="E92" s="14"/>
      <c r="F92" s="14"/>
      <c r="G92" s="14"/>
      <c r="H92" s="15"/>
      <c r="I92" s="15">
        <f>SUM(C92:G92)</f>
        <v>996264133</v>
      </c>
      <c r="L92" s="29"/>
      <c r="M92" s="29"/>
      <c r="N92" s="29"/>
    </row>
    <row r="93" spans="1:14" ht="15" x14ac:dyDescent="0.25">
      <c r="C93" s="14"/>
      <c r="D93" s="14"/>
      <c r="E93" s="14"/>
      <c r="F93" s="14"/>
      <c r="G93" s="14"/>
      <c r="H93" s="15"/>
      <c r="I93" s="15"/>
      <c r="L93" s="29"/>
      <c r="M93" s="29"/>
      <c r="N93" s="29"/>
    </row>
    <row r="94" spans="1:14" ht="15" x14ac:dyDescent="0.25">
      <c r="A94" s="1" t="s">
        <v>116</v>
      </c>
      <c r="C94" s="14">
        <v>289944262</v>
      </c>
      <c r="D94" s="14">
        <v>372990926</v>
      </c>
      <c r="E94" s="14"/>
      <c r="F94" s="14"/>
      <c r="G94" s="14"/>
      <c r="H94" s="15"/>
      <c r="I94" s="15">
        <f>SUM(C94:G94)</f>
        <v>662935188</v>
      </c>
      <c r="L94" s="29"/>
      <c r="M94" s="29"/>
      <c r="N94" s="29"/>
    </row>
    <row r="95" spans="1:14" ht="15" x14ac:dyDescent="0.25">
      <c r="A95" s="1" t="s">
        <v>117</v>
      </c>
      <c r="B95" s="16" t="s">
        <v>96</v>
      </c>
      <c r="C95" s="14">
        <v>11614893</v>
      </c>
      <c r="D95" s="14">
        <v>8073205</v>
      </c>
      <c r="E95" s="14"/>
      <c r="F95" s="14"/>
      <c r="G95" s="14"/>
      <c r="H95" s="15">
        <f>SUM(C95:G95)</f>
        <v>19688098</v>
      </c>
      <c r="I95" s="15"/>
      <c r="L95" s="29"/>
      <c r="M95" s="29"/>
      <c r="N95" s="29"/>
    </row>
    <row r="96" spans="1:14" ht="15" x14ac:dyDescent="0.25">
      <c r="A96" s="1" t="s">
        <v>118</v>
      </c>
      <c r="B96" s="16" t="s">
        <v>27</v>
      </c>
      <c r="C96" s="14">
        <v>152202156</v>
      </c>
      <c r="D96" s="14">
        <v>122208259</v>
      </c>
      <c r="E96" s="14"/>
      <c r="F96" s="14"/>
      <c r="G96" s="14"/>
      <c r="H96" s="15">
        <f>SUM(C96:G96)</f>
        <v>274410415</v>
      </c>
      <c r="I96" s="15"/>
      <c r="L96" s="29"/>
      <c r="M96" s="29"/>
      <c r="N96" s="29"/>
    </row>
    <row r="97" spans="1:14" ht="15" x14ac:dyDescent="0.25">
      <c r="C97" s="14"/>
      <c r="D97" s="14"/>
      <c r="E97" s="14"/>
      <c r="F97" s="14"/>
      <c r="G97" s="14"/>
      <c r="H97" s="15"/>
      <c r="I97" s="15"/>
      <c r="L97" s="29"/>
      <c r="M97" s="29"/>
      <c r="N97" s="29"/>
    </row>
    <row r="98" spans="1:14" ht="15" x14ac:dyDescent="0.25">
      <c r="A98" s="1" t="s">
        <v>119</v>
      </c>
      <c r="C98" s="14">
        <v>284381901</v>
      </c>
      <c r="D98" s="14">
        <v>461014326</v>
      </c>
      <c r="E98" s="14">
        <v>167749</v>
      </c>
      <c r="F98" s="14">
        <v>42720</v>
      </c>
      <c r="G98" s="14"/>
      <c r="H98" s="15"/>
      <c r="I98" s="15">
        <f>SUM(C98:G98)</f>
        <v>745606696</v>
      </c>
      <c r="J98" s="17"/>
      <c r="L98" s="29"/>
      <c r="M98" s="29"/>
      <c r="N98" s="29"/>
    </row>
    <row r="99" spans="1:14" ht="15" x14ac:dyDescent="0.25">
      <c r="A99" s="1" t="s">
        <v>120</v>
      </c>
      <c r="B99" s="16" t="s">
        <v>27</v>
      </c>
      <c r="C99" s="14">
        <v>214810114</v>
      </c>
      <c r="D99" s="14">
        <v>161724888</v>
      </c>
      <c r="E99" s="14"/>
      <c r="F99" s="14"/>
      <c r="G99" s="14"/>
      <c r="H99" s="15">
        <f>SUM(C99:G99)</f>
        <v>376535002</v>
      </c>
      <c r="I99" s="15"/>
    </row>
    <row r="100" spans="1:14" ht="15" x14ac:dyDescent="0.25">
      <c r="C100" s="14"/>
      <c r="D100" s="14"/>
      <c r="E100" s="14"/>
      <c r="F100" s="14"/>
      <c r="G100" s="14"/>
      <c r="H100" s="15"/>
      <c r="I100" s="15"/>
    </row>
    <row r="101" spans="1:14" ht="15" x14ac:dyDescent="0.25">
      <c r="A101" s="1" t="s">
        <v>121</v>
      </c>
      <c r="C101" s="14">
        <v>88867399</v>
      </c>
      <c r="D101" s="14">
        <v>75654169</v>
      </c>
      <c r="E101" s="14"/>
      <c r="F101" s="14"/>
      <c r="G101" s="14"/>
      <c r="H101" s="15"/>
      <c r="I101" s="15">
        <f>SUM(C101:G101)</f>
        <v>164521568</v>
      </c>
    </row>
    <row r="102" spans="1:14" ht="15" x14ac:dyDescent="0.25">
      <c r="A102" s="1" t="s">
        <v>122</v>
      </c>
      <c r="B102" s="16" t="s">
        <v>15</v>
      </c>
      <c r="C102" s="14">
        <v>2614006</v>
      </c>
      <c r="D102" s="14">
        <v>3308553</v>
      </c>
      <c r="E102" s="14"/>
      <c r="F102" s="14"/>
      <c r="G102" s="14"/>
      <c r="H102" s="15">
        <f>SUM(C102:G102)</f>
        <v>5922559</v>
      </c>
      <c r="I102" s="15"/>
    </row>
    <row r="103" spans="1:14" x14ac:dyDescent="0.2">
      <c r="A103" s="22"/>
      <c r="B103" s="23"/>
      <c r="C103" s="24"/>
      <c r="D103" s="24"/>
      <c r="E103" s="24"/>
      <c r="F103" s="24"/>
      <c r="G103" s="24"/>
      <c r="H103" s="25" t="s">
        <v>1</v>
      </c>
      <c r="I103" s="25" t="s">
        <v>1</v>
      </c>
    </row>
    <row r="104" spans="1:14" x14ac:dyDescent="0.2">
      <c r="A104" s="26"/>
      <c r="B104" s="11"/>
      <c r="C104" s="27" t="s">
        <v>2</v>
      </c>
      <c r="D104" s="27" t="s">
        <v>3</v>
      </c>
      <c r="E104" s="2" t="s">
        <v>4</v>
      </c>
      <c r="F104" s="2"/>
      <c r="G104" s="27" t="s">
        <v>5</v>
      </c>
      <c r="H104" s="27" t="s">
        <v>6</v>
      </c>
      <c r="I104" s="27" t="s">
        <v>7</v>
      </c>
    </row>
    <row r="105" spans="1:14" x14ac:dyDescent="0.2">
      <c r="A105" s="12" t="s">
        <v>8</v>
      </c>
      <c r="B105" s="13" t="s">
        <v>9</v>
      </c>
      <c r="C105" s="28" t="s">
        <v>10</v>
      </c>
      <c r="D105" s="28" t="s">
        <v>10</v>
      </c>
      <c r="E105" s="28" t="s">
        <v>11</v>
      </c>
      <c r="F105" s="28" t="s">
        <v>12</v>
      </c>
      <c r="G105" s="28" t="s">
        <v>11</v>
      </c>
      <c r="H105" s="28" t="s">
        <v>10</v>
      </c>
      <c r="I105" s="28" t="s">
        <v>10</v>
      </c>
    </row>
    <row r="106" spans="1:14" ht="15" x14ac:dyDescent="0.25">
      <c r="A106" s="30" t="s">
        <v>123</v>
      </c>
      <c r="C106" s="14">
        <v>1002538817</v>
      </c>
      <c r="D106" s="14">
        <v>463437582</v>
      </c>
      <c r="E106" s="14"/>
      <c r="F106" s="14"/>
      <c r="G106" s="14"/>
      <c r="H106" s="15"/>
      <c r="I106" s="15">
        <f>SUM(C106:G106)</f>
        <v>1465976399</v>
      </c>
    </row>
    <row r="107" spans="1:14" ht="15" x14ac:dyDescent="0.25">
      <c r="A107" s="1" t="s">
        <v>124</v>
      </c>
      <c r="B107" s="16" t="s">
        <v>27</v>
      </c>
      <c r="C107" s="14">
        <v>509786975</v>
      </c>
      <c r="D107" s="14">
        <v>175889720</v>
      </c>
      <c r="E107" s="14"/>
      <c r="F107" s="14"/>
      <c r="G107" s="14"/>
      <c r="H107" s="15">
        <f>SUM(C107:G107)</f>
        <v>685676695</v>
      </c>
      <c r="I107" s="15"/>
    </row>
    <row r="108" spans="1:14" ht="15" x14ac:dyDescent="0.25">
      <c r="A108" s="1" t="s">
        <v>125</v>
      </c>
      <c r="B108" s="16" t="s">
        <v>49</v>
      </c>
      <c r="C108" s="14">
        <v>53849251</v>
      </c>
      <c r="D108" s="14">
        <v>15710992</v>
      </c>
      <c r="E108" s="14"/>
      <c r="F108" s="14"/>
      <c r="G108" s="14"/>
      <c r="H108" s="15">
        <f>SUM(C108:G108)</f>
        <v>69560243</v>
      </c>
      <c r="I108" s="15"/>
    </row>
    <row r="109" spans="1:14" ht="15" x14ac:dyDescent="0.25">
      <c r="A109" s="1" t="s">
        <v>126</v>
      </c>
      <c r="B109" s="16" t="s">
        <v>127</v>
      </c>
      <c r="C109" s="14">
        <v>29473488</v>
      </c>
      <c r="D109" s="14">
        <v>10229798</v>
      </c>
      <c r="E109" s="14"/>
      <c r="F109" s="14"/>
      <c r="G109" s="14"/>
      <c r="H109" s="15">
        <f>SUM(C109:G109)</f>
        <v>39703286</v>
      </c>
      <c r="I109" s="15"/>
    </row>
    <row r="110" spans="1:14" ht="15" x14ac:dyDescent="0.25">
      <c r="C110" s="14"/>
      <c r="D110" s="14"/>
      <c r="E110" s="14"/>
      <c r="F110" s="14"/>
      <c r="G110" s="14"/>
      <c r="H110" s="15"/>
      <c r="I110" s="15"/>
    </row>
    <row r="111" spans="1:14" ht="15" x14ac:dyDescent="0.25">
      <c r="A111" s="1" t="s">
        <v>128</v>
      </c>
      <c r="C111" s="14">
        <v>96127373</v>
      </c>
      <c r="D111" s="14">
        <f>149690584+11203544</f>
        <v>160894128</v>
      </c>
      <c r="E111" s="14">
        <v>1231007</v>
      </c>
      <c r="F111" s="14">
        <v>270256</v>
      </c>
      <c r="G111" s="14"/>
      <c r="H111" s="15"/>
      <c r="I111" s="15">
        <f>SUM(C111:G111)</f>
        <v>258522764</v>
      </c>
      <c r="J111" s="17"/>
    </row>
    <row r="112" spans="1:14" ht="15" x14ac:dyDescent="0.25">
      <c r="A112" s="1" t="s">
        <v>129</v>
      </c>
      <c r="B112" s="16" t="s">
        <v>101</v>
      </c>
      <c r="C112" s="14">
        <v>477626</v>
      </c>
      <c r="D112" s="48">
        <v>635511</v>
      </c>
      <c r="E112" s="15"/>
      <c r="F112" s="14"/>
      <c r="G112" s="14"/>
      <c r="H112" s="15">
        <f>SUM(C112:G112)</f>
        <v>1113137</v>
      </c>
      <c r="I112" s="15"/>
    </row>
    <row r="113" spans="1:10" ht="15" x14ac:dyDescent="0.25">
      <c r="A113" s="1" t="s">
        <v>130</v>
      </c>
      <c r="B113" s="16" t="s">
        <v>131</v>
      </c>
      <c r="C113" s="14">
        <v>28191454</v>
      </c>
      <c r="D113" s="14">
        <f>13627918+302120</f>
        <v>13930038</v>
      </c>
      <c r="E113" s="15"/>
      <c r="F113" s="14"/>
      <c r="G113" s="14"/>
      <c r="H113" s="15">
        <f>SUM(C113:G113)</f>
        <v>42121492</v>
      </c>
      <c r="I113" s="15"/>
    </row>
    <row r="114" spans="1:10" ht="15" x14ac:dyDescent="0.25">
      <c r="A114" s="1" t="s">
        <v>132</v>
      </c>
      <c r="B114" s="16" t="s">
        <v>133</v>
      </c>
      <c r="C114" s="14">
        <v>1045265</v>
      </c>
      <c r="D114" s="14">
        <f>2025766+13398</f>
        <v>2039164</v>
      </c>
      <c r="E114" s="15"/>
      <c r="F114" s="14"/>
      <c r="G114" s="14"/>
      <c r="H114" s="15">
        <f>SUM(C114:G114)</f>
        <v>3084429</v>
      </c>
      <c r="I114" s="15"/>
    </row>
    <row r="115" spans="1:10" ht="15" x14ac:dyDescent="0.25">
      <c r="A115" s="1" t="s">
        <v>134</v>
      </c>
      <c r="B115" s="16" t="s">
        <v>27</v>
      </c>
      <c r="C115" s="14">
        <v>36486373</v>
      </c>
      <c r="D115" s="14">
        <f>45984231+26474</f>
        <v>46010705</v>
      </c>
      <c r="E115" s="15"/>
      <c r="F115" s="14"/>
      <c r="G115" s="14"/>
      <c r="H115" s="15">
        <f>SUM(C115:G115)</f>
        <v>82497078</v>
      </c>
      <c r="I115" s="15"/>
    </row>
    <row r="116" spans="1:10" ht="15" x14ac:dyDescent="0.25">
      <c r="C116" s="14"/>
      <c r="D116" s="14"/>
      <c r="E116" s="14"/>
      <c r="F116" s="14"/>
      <c r="G116" s="14"/>
      <c r="H116" s="15"/>
      <c r="I116" s="15"/>
    </row>
    <row r="117" spans="1:10" ht="15" x14ac:dyDescent="0.25">
      <c r="A117" s="1" t="s">
        <v>135</v>
      </c>
      <c r="C117" s="14">
        <v>587652282</v>
      </c>
      <c r="D117" s="14">
        <v>385991764</v>
      </c>
      <c r="E117" s="14">
        <v>612459567</v>
      </c>
      <c r="F117" s="14">
        <v>172086290</v>
      </c>
      <c r="G117" s="14"/>
      <c r="H117" s="15"/>
      <c r="I117" s="15">
        <f>SUM(C117:G117)</f>
        <v>1758189903</v>
      </c>
      <c r="J117" s="17"/>
    </row>
    <row r="118" spans="1:10" ht="15" x14ac:dyDescent="0.25">
      <c r="A118" s="1" t="s">
        <v>136</v>
      </c>
      <c r="B118" s="16" t="s">
        <v>101</v>
      </c>
      <c r="C118" s="14">
        <v>15749839</v>
      </c>
      <c r="D118" s="14">
        <v>15311441</v>
      </c>
      <c r="E118" s="14"/>
      <c r="F118" s="14"/>
      <c r="G118" s="14"/>
      <c r="H118" s="15">
        <f>SUM(C118:G118)</f>
        <v>31061280</v>
      </c>
      <c r="I118" s="15"/>
    </row>
    <row r="119" spans="1:10" ht="15" x14ac:dyDescent="0.25">
      <c r="A119" s="1" t="s">
        <v>137</v>
      </c>
      <c r="B119" s="16">
        <v>55</v>
      </c>
      <c r="C119" s="14">
        <v>78837370</v>
      </c>
      <c r="D119" s="14">
        <v>69356291</v>
      </c>
      <c r="E119" s="14"/>
      <c r="F119" s="14"/>
      <c r="G119" s="14"/>
      <c r="H119" s="15">
        <f>SUM(C119:G119)</f>
        <v>148193661</v>
      </c>
      <c r="I119" s="15"/>
    </row>
    <row r="120" spans="1:10" ht="15" x14ac:dyDescent="0.25">
      <c r="C120" s="14"/>
      <c r="D120" s="14"/>
      <c r="E120" s="14"/>
      <c r="F120" s="14"/>
      <c r="G120" s="14"/>
      <c r="H120" s="15"/>
      <c r="I120" s="15"/>
    </row>
    <row r="121" spans="1:10" ht="15" x14ac:dyDescent="0.25">
      <c r="A121" s="1" t="s">
        <v>138</v>
      </c>
      <c r="C121" s="14">
        <v>213307871</v>
      </c>
      <c r="D121" s="14">
        <v>452567107</v>
      </c>
      <c r="E121" s="14">
        <v>18719976</v>
      </c>
      <c r="F121" s="14">
        <v>4208800</v>
      </c>
      <c r="G121" s="14"/>
      <c r="H121" s="15"/>
      <c r="I121" s="15">
        <f>SUM(C121:G121)</f>
        <v>688803754</v>
      </c>
      <c r="J121" s="17"/>
    </row>
    <row r="122" spans="1:10" ht="15" x14ac:dyDescent="0.25">
      <c r="A122" s="1" t="s">
        <v>139</v>
      </c>
      <c r="B122" s="16" t="s">
        <v>140</v>
      </c>
      <c r="C122" s="14">
        <v>410634</v>
      </c>
      <c r="D122" s="14">
        <v>1004676</v>
      </c>
      <c r="E122" s="14"/>
      <c r="F122" s="14"/>
      <c r="G122" s="14"/>
      <c r="H122" s="15">
        <f>SUM(C122:G122)</f>
        <v>1415310</v>
      </c>
      <c r="I122" s="15"/>
    </row>
    <row r="123" spans="1:10" ht="15" x14ac:dyDescent="0.25">
      <c r="A123" s="1" t="s">
        <v>141</v>
      </c>
      <c r="B123" s="16" t="s">
        <v>142</v>
      </c>
      <c r="C123" s="14">
        <v>822959</v>
      </c>
      <c r="D123" s="14">
        <v>487444</v>
      </c>
      <c r="E123" s="14"/>
      <c r="F123" s="14"/>
      <c r="G123" s="14"/>
      <c r="H123" s="15">
        <f>SUM(C123:G123)</f>
        <v>1310403</v>
      </c>
      <c r="I123" s="15"/>
    </row>
    <row r="124" spans="1:10" ht="15" x14ac:dyDescent="0.25">
      <c r="A124" s="1" t="s">
        <v>143</v>
      </c>
      <c r="B124" s="16" t="s">
        <v>58</v>
      </c>
      <c r="C124" s="14">
        <v>1514021</v>
      </c>
      <c r="D124" s="14">
        <v>1538954</v>
      </c>
      <c r="E124" s="14"/>
      <c r="F124" s="14"/>
      <c r="G124" s="14"/>
      <c r="H124" s="15">
        <f>SUM(C124:G124)</f>
        <v>3052975</v>
      </c>
      <c r="I124" s="15"/>
    </row>
    <row r="125" spans="1:10" ht="15" x14ac:dyDescent="0.25">
      <c r="A125" s="1" t="s">
        <v>144</v>
      </c>
      <c r="B125" s="16" t="s">
        <v>91</v>
      </c>
      <c r="C125" s="14">
        <v>775352</v>
      </c>
      <c r="D125" s="14">
        <v>461508</v>
      </c>
      <c r="E125" s="14"/>
      <c r="F125" s="14"/>
      <c r="G125" s="14"/>
      <c r="H125" s="15">
        <f>SUM(C125:G125)</f>
        <v>1236860</v>
      </c>
      <c r="I125" s="15"/>
    </row>
    <row r="126" spans="1:10" ht="15" x14ac:dyDescent="0.25">
      <c r="A126" s="1" t="s">
        <v>145</v>
      </c>
      <c r="B126" s="16" t="s">
        <v>27</v>
      </c>
      <c r="C126" s="14">
        <v>138684611</v>
      </c>
      <c r="D126" s="14">
        <v>57025353</v>
      </c>
      <c r="E126" s="14"/>
      <c r="F126" s="14"/>
      <c r="G126" s="14"/>
      <c r="H126" s="15">
        <f>SUM(C126:G126)</f>
        <v>195709964</v>
      </c>
      <c r="I126" s="15"/>
    </row>
    <row r="127" spans="1:10" x14ac:dyDescent="0.2">
      <c r="C127" s="15"/>
      <c r="D127" s="15"/>
      <c r="E127" s="15"/>
      <c r="F127" s="15"/>
      <c r="G127" s="15"/>
      <c r="H127" s="31"/>
      <c r="I127" s="31"/>
    </row>
    <row r="128" spans="1:10" ht="15" x14ac:dyDescent="0.25">
      <c r="A128" s="1" t="s">
        <v>146</v>
      </c>
      <c r="C128" s="14">
        <v>3904785831</v>
      </c>
      <c r="D128" s="14">
        <v>1002640032</v>
      </c>
      <c r="E128" s="14">
        <v>140214249</v>
      </c>
      <c r="F128" s="14">
        <v>34837011</v>
      </c>
      <c r="G128" s="14"/>
      <c r="H128" s="15"/>
      <c r="I128" s="15">
        <f>SUM(C128:G128)</f>
        <v>5082477123</v>
      </c>
      <c r="J128" s="17"/>
    </row>
    <row r="129" spans="1:11" ht="15" x14ac:dyDescent="0.25">
      <c r="A129" s="1" t="s">
        <v>147</v>
      </c>
      <c r="B129" s="16" t="s">
        <v>27</v>
      </c>
      <c r="C129" s="14">
        <v>175592608</v>
      </c>
      <c r="D129" s="14">
        <v>71684494</v>
      </c>
      <c r="E129" s="14"/>
      <c r="F129" s="14"/>
      <c r="G129" s="14"/>
      <c r="H129" s="15">
        <f t="shared" ref="H129:H134" si="1">SUM(C129:G129)</f>
        <v>247277102</v>
      </c>
      <c r="I129" s="15"/>
    </row>
    <row r="130" spans="1:11" ht="15" x14ac:dyDescent="0.25">
      <c r="A130" s="1" t="s">
        <v>148</v>
      </c>
      <c r="B130" s="16" t="s">
        <v>34</v>
      </c>
      <c r="C130" s="14">
        <v>4357547</v>
      </c>
      <c r="D130" s="14">
        <v>7527372</v>
      </c>
      <c r="E130" s="14"/>
      <c r="F130" s="14"/>
      <c r="G130" s="14"/>
      <c r="H130" s="15">
        <f t="shared" si="1"/>
        <v>11884919</v>
      </c>
      <c r="I130" s="15"/>
    </row>
    <row r="131" spans="1:11" ht="15" x14ac:dyDescent="0.25">
      <c r="A131" s="1" t="s">
        <v>149</v>
      </c>
      <c r="B131" s="16" t="s">
        <v>150</v>
      </c>
      <c r="C131" s="14">
        <v>6587494</v>
      </c>
      <c r="D131" s="14">
        <v>4483947</v>
      </c>
      <c r="E131" s="14"/>
      <c r="F131" s="14"/>
      <c r="G131" s="14"/>
      <c r="H131" s="15">
        <f t="shared" si="1"/>
        <v>11071441</v>
      </c>
      <c r="I131" s="15"/>
    </row>
    <row r="132" spans="1:11" ht="15" x14ac:dyDescent="0.25">
      <c r="A132" s="1" t="s">
        <v>151</v>
      </c>
      <c r="B132" s="16" t="s">
        <v>152</v>
      </c>
      <c r="C132" s="14">
        <f>0+2686773411</f>
        <v>2686773411</v>
      </c>
      <c r="D132" s="14">
        <f>9803348+14231+507554311</f>
        <v>517371890</v>
      </c>
      <c r="E132" s="14"/>
      <c r="F132" s="14"/>
      <c r="G132" s="14"/>
      <c r="H132" s="15">
        <f t="shared" si="1"/>
        <v>3204145301</v>
      </c>
      <c r="I132" s="15"/>
    </row>
    <row r="133" spans="1:11" ht="15" x14ac:dyDescent="0.25">
      <c r="A133" s="1" t="s">
        <v>153</v>
      </c>
      <c r="B133" s="16" t="s">
        <v>154</v>
      </c>
      <c r="C133" s="14">
        <v>2134789</v>
      </c>
      <c r="D133" s="14">
        <v>3379006</v>
      </c>
      <c r="E133" s="14"/>
      <c r="F133" s="14"/>
      <c r="G133" s="14"/>
      <c r="H133" s="15">
        <f t="shared" si="1"/>
        <v>5513795</v>
      </c>
      <c r="I133" s="15"/>
      <c r="K133" s="1" t="s">
        <v>18</v>
      </c>
    </row>
    <row r="134" spans="1:11" ht="15" x14ac:dyDescent="0.25">
      <c r="A134" s="1" t="s">
        <v>155</v>
      </c>
      <c r="B134" s="16" t="s">
        <v>227</v>
      </c>
      <c r="C134" s="14">
        <f>417204236+59640229</f>
        <v>476844465</v>
      </c>
      <c r="D134" s="14">
        <f>50097764+5401535</f>
        <v>55499299</v>
      </c>
      <c r="E134" s="14"/>
      <c r="F134" s="14"/>
      <c r="G134" s="14"/>
      <c r="H134" s="15">
        <f t="shared" si="1"/>
        <v>532343764</v>
      </c>
      <c r="I134" s="15"/>
      <c r="K134" s="1" t="s">
        <v>156</v>
      </c>
    </row>
    <row r="135" spans="1:11" ht="15" x14ac:dyDescent="0.25">
      <c r="A135" s="1" t="s">
        <v>23</v>
      </c>
      <c r="B135" s="16" t="s">
        <v>157</v>
      </c>
      <c r="C135" s="14">
        <v>0</v>
      </c>
      <c r="D135" s="14">
        <v>1548589</v>
      </c>
      <c r="E135" s="14"/>
      <c r="F135" s="14"/>
      <c r="G135" s="14"/>
      <c r="H135" s="15">
        <f>SUM(C135:G135)</f>
        <v>1548589</v>
      </c>
      <c r="I135" s="15"/>
      <c r="J135" s="32"/>
      <c r="K135" s="18">
        <f>H135/$J$12</f>
        <v>7.7254208484828224E-3</v>
      </c>
    </row>
    <row r="136" spans="1:11" ht="15" x14ac:dyDescent="0.25">
      <c r="C136" s="14"/>
      <c r="D136" s="15"/>
      <c r="E136" s="14"/>
      <c r="F136" s="14"/>
      <c r="G136" s="14"/>
      <c r="H136" s="15"/>
      <c r="I136" s="15"/>
    </row>
    <row r="137" spans="1:11" ht="15" x14ac:dyDescent="0.25">
      <c r="A137" s="1" t="s">
        <v>158</v>
      </c>
      <c r="C137" s="14">
        <v>1712930197</v>
      </c>
      <c r="D137" s="14">
        <f>1556779856+11359473</f>
        <v>1568139329</v>
      </c>
      <c r="E137" s="48">
        <v>1023860171</v>
      </c>
      <c r="F137" s="48">
        <v>263039250</v>
      </c>
      <c r="G137" s="14"/>
      <c r="H137" s="15"/>
      <c r="I137" s="15">
        <f>SUM(C137:G137)</f>
        <v>4567968947</v>
      </c>
      <c r="J137" s="17"/>
    </row>
    <row r="138" spans="1:11" ht="15" x14ac:dyDescent="0.25">
      <c r="A138" s="1" t="s">
        <v>159</v>
      </c>
      <c r="B138" s="16" t="s">
        <v>58</v>
      </c>
      <c r="C138" s="14">
        <v>102407952</v>
      </c>
      <c r="D138" s="14">
        <f>41620032+45331</f>
        <v>41665363</v>
      </c>
      <c r="E138" s="48">
        <v>1803727</v>
      </c>
      <c r="F138" s="48">
        <v>436494</v>
      </c>
      <c r="G138" s="14"/>
      <c r="H138" s="15">
        <f>SUM(C138:G138)</f>
        <v>146313536</v>
      </c>
      <c r="I138" s="15"/>
    </row>
    <row r="139" spans="1:11" ht="15" x14ac:dyDescent="0.25">
      <c r="A139" s="1" t="s">
        <v>160</v>
      </c>
      <c r="B139" s="49" t="s">
        <v>225</v>
      </c>
      <c r="C139" s="14">
        <f>357609+90230917</f>
        <v>90588526</v>
      </c>
      <c r="D139" s="14">
        <f>1553745+53015+67078206+349763</f>
        <v>69034729</v>
      </c>
      <c r="E139" s="48">
        <v>1044939</v>
      </c>
      <c r="F139" s="48">
        <v>181177</v>
      </c>
      <c r="G139" s="14"/>
      <c r="H139" s="15">
        <f>SUM(C139:G139)</f>
        <v>160849371</v>
      </c>
      <c r="I139" s="15"/>
      <c r="J139" s="17"/>
    </row>
    <row r="140" spans="1:11" ht="15" x14ac:dyDescent="0.25">
      <c r="A140" s="1" t="s">
        <v>161</v>
      </c>
      <c r="B140" s="16" t="s">
        <v>91</v>
      </c>
      <c r="C140" s="14">
        <v>892749266</v>
      </c>
      <c r="D140" s="14">
        <f>445168892+649249</f>
        <v>445818141</v>
      </c>
      <c r="E140" s="48">
        <v>4513013</v>
      </c>
      <c r="F140" s="48">
        <v>1074762</v>
      </c>
      <c r="G140" s="14"/>
      <c r="H140" s="15">
        <f>SUM(C140:G140)</f>
        <v>1344155182</v>
      </c>
      <c r="I140" s="15"/>
    </row>
    <row r="141" spans="1:11" ht="15" x14ac:dyDescent="0.25">
      <c r="A141" s="1" t="s">
        <v>162</v>
      </c>
      <c r="B141" s="16">
        <v>22</v>
      </c>
      <c r="C141" s="14">
        <v>12535708</v>
      </c>
      <c r="D141" s="14">
        <v>16676657</v>
      </c>
      <c r="E141" s="14"/>
      <c r="F141" s="14"/>
      <c r="G141" s="14"/>
      <c r="H141" s="15">
        <f>SUM(C141:G141)</f>
        <v>29212365</v>
      </c>
      <c r="I141" s="15"/>
    </row>
    <row r="142" spans="1:11" ht="15" x14ac:dyDescent="0.25">
      <c r="B142" s="16"/>
      <c r="C142" s="14"/>
      <c r="D142" s="14"/>
      <c r="E142" s="14"/>
      <c r="F142" s="14"/>
      <c r="G142" s="14"/>
      <c r="H142" s="15"/>
      <c r="I142" s="15"/>
    </row>
    <row r="143" spans="1:11" ht="15" x14ac:dyDescent="0.25">
      <c r="A143" s="1" t="s">
        <v>163</v>
      </c>
      <c r="C143" s="14">
        <v>475271478</v>
      </c>
      <c r="D143" s="14">
        <f>235703738+7261761</f>
        <v>242965499</v>
      </c>
      <c r="E143" s="14"/>
      <c r="F143" s="14"/>
      <c r="G143" s="14"/>
      <c r="H143" s="15"/>
      <c r="I143" s="15">
        <f>SUM(C143:G143)</f>
        <v>718236977</v>
      </c>
    </row>
    <row r="144" spans="1:11" ht="15" x14ac:dyDescent="0.25">
      <c r="A144" s="1" t="s">
        <v>164</v>
      </c>
      <c r="B144" s="16" t="s">
        <v>226</v>
      </c>
      <c r="C144" s="14">
        <f>47818028+114493995</f>
        <v>162312023</v>
      </c>
      <c r="D144" s="14">
        <f>18807717+9761+69648674+16359</f>
        <v>88482511</v>
      </c>
      <c r="E144" s="14"/>
      <c r="F144" s="14"/>
      <c r="G144" s="14"/>
      <c r="H144" s="15">
        <f>SUM(C144:G144)</f>
        <v>250794534</v>
      </c>
      <c r="I144" s="15"/>
    </row>
    <row r="145" spans="1:11" ht="15" x14ac:dyDescent="0.25">
      <c r="A145" s="1" t="s">
        <v>165</v>
      </c>
      <c r="B145" s="16" t="s">
        <v>166</v>
      </c>
      <c r="C145" s="14">
        <v>22228891</v>
      </c>
      <c r="D145" s="14">
        <f>4548369+40636</f>
        <v>4589005</v>
      </c>
      <c r="E145" s="14"/>
      <c r="F145" s="14"/>
      <c r="G145" s="14"/>
      <c r="H145" s="15">
        <f>SUM(C145:G145)</f>
        <v>26817896</v>
      </c>
      <c r="I145" s="15"/>
    </row>
    <row r="146" spans="1:11" ht="15" x14ac:dyDescent="0.25">
      <c r="C146" s="14"/>
      <c r="D146" s="14"/>
      <c r="E146" s="14"/>
      <c r="F146" s="14"/>
      <c r="G146" s="14"/>
      <c r="H146" s="15"/>
      <c r="I146" s="15"/>
    </row>
    <row r="147" spans="1:11" ht="15" x14ac:dyDescent="0.25">
      <c r="A147" s="1" t="s">
        <v>167</v>
      </c>
      <c r="C147" s="14">
        <v>7615070481</v>
      </c>
      <c r="D147" s="14">
        <v>1988781032</v>
      </c>
      <c r="E147" s="14"/>
      <c r="F147" s="14"/>
      <c r="G147" s="14"/>
      <c r="H147" s="15"/>
      <c r="I147" s="15">
        <f>SUM(C147:G147)</f>
        <v>9603851513</v>
      </c>
    </row>
    <row r="148" spans="1:11" ht="15" x14ac:dyDescent="0.25">
      <c r="A148" s="1" t="s">
        <v>168</v>
      </c>
      <c r="B148" s="16" t="s">
        <v>72</v>
      </c>
      <c r="C148" s="14">
        <v>4140418495</v>
      </c>
      <c r="D148" s="14">
        <v>1434547042</v>
      </c>
      <c r="E148" s="14"/>
      <c r="F148" s="14"/>
      <c r="G148" s="14"/>
      <c r="H148" s="15">
        <f>SUM(C148:G148)</f>
        <v>5574965537</v>
      </c>
      <c r="I148" s="15"/>
      <c r="K148" s="1" t="s">
        <v>18</v>
      </c>
    </row>
    <row r="149" spans="1:11" ht="15" x14ac:dyDescent="0.25">
      <c r="A149" s="1" t="s">
        <v>137</v>
      </c>
      <c r="B149" s="16" t="s">
        <v>169</v>
      </c>
      <c r="C149" s="14">
        <v>45460470</v>
      </c>
      <c r="D149" s="14">
        <v>12565236</v>
      </c>
      <c r="E149" s="14"/>
      <c r="F149" s="14"/>
      <c r="G149" s="14"/>
      <c r="H149" s="15">
        <f>SUM(C149:G149)</f>
        <v>58025706</v>
      </c>
      <c r="I149" s="15"/>
      <c r="K149" s="1" t="s">
        <v>170</v>
      </c>
    </row>
    <row r="150" spans="1:11" ht="15" x14ac:dyDescent="0.25">
      <c r="A150" s="1" t="s">
        <v>23</v>
      </c>
      <c r="B150" s="16" t="s">
        <v>171</v>
      </c>
      <c r="C150" s="14">
        <v>111497055</v>
      </c>
      <c r="D150" s="14">
        <v>39156951</v>
      </c>
      <c r="E150" s="14"/>
      <c r="F150" s="14"/>
      <c r="G150" s="14"/>
      <c r="H150" s="15">
        <f>SUM(C150:G150)</f>
        <v>150654006</v>
      </c>
      <c r="I150" s="15"/>
      <c r="K150" s="18">
        <f>(H150+H151)/$J$12</f>
        <v>0.99217835242980701</v>
      </c>
    </row>
    <row r="151" spans="1:11" ht="15" x14ac:dyDescent="0.25">
      <c r="A151" s="1" t="s">
        <v>172</v>
      </c>
      <c r="B151" s="16" t="s">
        <v>173</v>
      </c>
      <c r="C151" s="14">
        <v>45084817</v>
      </c>
      <c r="D151" s="14">
        <v>3146974</v>
      </c>
      <c r="E151" s="14"/>
      <c r="F151" s="14"/>
      <c r="G151" s="14"/>
      <c r="H151" s="15">
        <f>SUM(C151:G151)</f>
        <v>48231791</v>
      </c>
      <c r="I151" s="15"/>
      <c r="K151" s="33">
        <f>K150+K135+K12</f>
        <v>1</v>
      </c>
    </row>
    <row r="152" spans="1:11" ht="15" x14ac:dyDescent="0.25">
      <c r="B152" s="16"/>
      <c r="C152" s="14"/>
      <c r="D152" s="14"/>
      <c r="E152" s="14"/>
      <c r="F152" s="14"/>
      <c r="G152" s="14"/>
      <c r="H152" s="15"/>
      <c r="I152" s="15"/>
    </row>
    <row r="153" spans="1:11" ht="15" x14ac:dyDescent="0.25">
      <c r="A153" s="1" t="s">
        <v>174</v>
      </c>
      <c r="C153" s="14">
        <v>215616684</v>
      </c>
      <c r="D153" s="14">
        <v>153684093</v>
      </c>
      <c r="E153" s="14"/>
      <c r="F153" s="14"/>
      <c r="G153" s="14"/>
      <c r="H153" s="15"/>
      <c r="I153" s="15">
        <f>SUM(C153:G153)</f>
        <v>369300777</v>
      </c>
    </row>
    <row r="154" spans="1:11" ht="15" x14ac:dyDescent="0.25">
      <c r="A154" s="1" t="s">
        <v>175</v>
      </c>
      <c r="B154" s="16" t="s">
        <v>32</v>
      </c>
      <c r="C154" s="14">
        <v>73700556</v>
      </c>
      <c r="D154" s="14">
        <v>39042989</v>
      </c>
      <c r="E154" s="14"/>
      <c r="F154" s="14"/>
      <c r="G154" s="14"/>
      <c r="H154" s="15">
        <f>SUM(C154:G154)</f>
        <v>112743545</v>
      </c>
      <c r="I154" s="15"/>
    </row>
    <row r="155" spans="1:11" ht="15" x14ac:dyDescent="0.25">
      <c r="A155" s="1" t="s">
        <v>176</v>
      </c>
      <c r="B155" s="16" t="s">
        <v>177</v>
      </c>
      <c r="C155" s="14">
        <v>4868601</v>
      </c>
      <c r="D155" s="14">
        <v>1388281</v>
      </c>
      <c r="E155" s="14"/>
      <c r="F155" s="14"/>
      <c r="G155" s="14"/>
      <c r="H155" s="15">
        <f>SUM(C155:G155)</f>
        <v>6256882</v>
      </c>
      <c r="I155" s="15"/>
    </row>
    <row r="156" spans="1:11" ht="15" x14ac:dyDescent="0.25">
      <c r="A156" s="1" t="s">
        <v>178</v>
      </c>
      <c r="B156" s="16" t="s">
        <v>179</v>
      </c>
      <c r="C156" s="14">
        <v>49897518</v>
      </c>
      <c r="D156" s="14">
        <v>17653791</v>
      </c>
      <c r="E156" s="14"/>
      <c r="F156" s="14"/>
      <c r="G156" s="14"/>
      <c r="H156" s="15">
        <f>SUM(C156:G156)</f>
        <v>67551309</v>
      </c>
      <c r="I156" s="15"/>
    </row>
    <row r="157" spans="1:11" ht="15" x14ac:dyDescent="0.25">
      <c r="C157" s="14"/>
      <c r="D157" s="14"/>
      <c r="E157" s="14"/>
      <c r="F157" s="14"/>
      <c r="G157" s="14"/>
      <c r="H157" s="15"/>
      <c r="I157" s="15"/>
    </row>
    <row r="158" spans="1:11" x14ac:dyDescent="0.2">
      <c r="A158" s="22"/>
      <c r="B158" s="23"/>
      <c r="C158" s="24"/>
      <c r="D158" s="24"/>
      <c r="E158" s="24"/>
      <c r="F158" s="24"/>
      <c r="G158" s="24"/>
      <c r="H158" s="25" t="s">
        <v>1</v>
      </c>
      <c r="I158" s="25" t="s">
        <v>1</v>
      </c>
    </row>
    <row r="159" spans="1:11" x14ac:dyDescent="0.2">
      <c r="A159" s="26"/>
      <c r="B159" s="11"/>
      <c r="C159" s="27" t="s">
        <v>2</v>
      </c>
      <c r="D159" s="27" t="s">
        <v>3</v>
      </c>
      <c r="E159" s="2" t="s">
        <v>4</v>
      </c>
      <c r="F159" s="2"/>
      <c r="G159" s="27" t="s">
        <v>5</v>
      </c>
      <c r="H159" s="27" t="s">
        <v>6</v>
      </c>
      <c r="I159" s="27" t="s">
        <v>7</v>
      </c>
    </row>
    <row r="160" spans="1:11" x14ac:dyDescent="0.2">
      <c r="A160" s="12" t="s">
        <v>8</v>
      </c>
      <c r="B160" s="13" t="s">
        <v>9</v>
      </c>
      <c r="C160" s="28" t="s">
        <v>10</v>
      </c>
      <c r="D160" s="28" t="s">
        <v>10</v>
      </c>
      <c r="E160" s="28" t="s">
        <v>11</v>
      </c>
      <c r="F160" s="28" t="s">
        <v>12</v>
      </c>
      <c r="G160" s="28" t="s">
        <v>11</v>
      </c>
      <c r="H160" s="28" t="s">
        <v>10</v>
      </c>
      <c r="I160" s="28" t="s">
        <v>10</v>
      </c>
    </row>
    <row r="161" spans="1:9" ht="15" x14ac:dyDescent="0.25">
      <c r="A161" s="1" t="s">
        <v>180</v>
      </c>
      <c r="C161" s="14">
        <v>181513871</v>
      </c>
      <c r="D161" s="14">
        <f>164115215+153</f>
        <v>164115368</v>
      </c>
      <c r="E161" s="14"/>
      <c r="F161" s="14"/>
      <c r="G161" s="14"/>
      <c r="H161" s="15"/>
      <c r="I161" s="15">
        <f>SUM(C161:G161)</f>
        <v>345629239</v>
      </c>
    </row>
    <row r="162" spans="1:9" ht="15" x14ac:dyDescent="0.25">
      <c r="A162" s="1" t="s">
        <v>181</v>
      </c>
      <c r="B162" s="16" t="s">
        <v>15</v>
      </c>
      <c r="C162" s="14">
        <v>5876443</v>
      </c>
      <c r="D162" s="14">
        <f>2709051+153</f>
        <v>2709204</v>
      </c>
      <c r="E162" s="14"/>
      <c r="F162" s="14"/>
      <c r="G162" s="14"/>
      <c r="H162" s="15">
        <f>SUM(C162:G162)</f>
        <v>8585647</v>
      </c>
      <c r="I162" s="15"/>
    </row>
    <row r="163" spans="1:9" ht="15" x14ac:dyDescent="0.25">
      <c r="A163" s="1" t="s">
        <v>182</v>
      </c>
      <c r="B163" s="16" t="s">
        <v>27</v>
      </c>
      <c r="C163" s="14">
        <v>93725465</v>
      </c>
      <c r="D163" s="14">
        <v>43775111</v>
      </c>
      <c r="E163" s="14"/>
      <c r="F163" s="14"/>
      <c r="G163" s="14"/>
      <c r="H163" s="15">
        <f>SUM(C163:G163)</f>
        <v>137500576</v>
      </c>
      <c r="I163" s="15"/>
    </row>
    <row r="164" spans="1:9" x14ac:dyDescent="0.2">
      <c r="C164" s="15"/>
      <c r="D164" s="15"/>
      <c r="E164" s="15"/>
      <c r="F164" s="15"/>
      <c r="G164" s="15"/>
      <c r="H164" s="15"/>
      <c r="I164" s="15"/>
    </row>
    <row r="165" spans="1:9" ht="15" x14ac:dyDescent="0.25">
      <c r="A165" s="1" t="s">
        <v>183</v>
      </c>
      <c r="C165" s="14">
        <v>1160522308</v>
      </c>
      <c r="D165" s="14">
        <f>606081599+6114648</f>
        <v>612196247</v>
      </c>
      <c r="E165" s="14"/>
      <c r="F165" s="14"/>
      <c r="G165" s="14"/>
      <c r="H165" s="15"/>
      <c r="I165" s="15">
        <f>SUM(C165:G165)</f>
        <v>1772718555</v>
      </c>
    </row>
    <row r="166" spans="1:9" ht="15" x14ac:dyDescent="0.25">
      <c r="A166" s="1" t="s">
        <v>184</v>
      </c>
      <c r="B166" s="16" t="s">
        <v>185</v>
      </c>
      <c r="C166" s="14">
        <v>24134738</v>
      </c>
      <c r="D166" s="14">
        <f>23810406+209093</f>
        <v>24019499</v>
      </c>
      <c r="E166" s="14"/>
      <c r="F166" s="14"/>
      <c r="G166" s="14"/>
      <c r="H166" s="15">
        <f>SUM(C166:G166)</f>
        <v>48154237</v>
      </c>
      <c r="I166" s="15"/>
    </row>
    <row r="167" spans="1:9" ht="15" x14ac:dyDescent="0.25">
      <c r="A167" s="1" t="s">
        <v>186</v>
      </c>
      <c r="B167" s="16" t="s">
        <v>187</v>
      </c>
      <c r="C167" s="14">
        <v>45977817</v>
      </c>
      <c r="D167" s="14">
        <f>25316285+3083</f>
        <v>25319368</v>
      </c>
      <c r="E167" s="14"/>
      <c r="F167" s="14"/>
      <c r="G167" s="14"/>
      <c r="H167" s="15">
        <f>SUM(C167:G167)</f>
        <v>71297185</v>
      </c>
      <c r="I167" s="15"/>
    </row>
    <row r="168" spans="1:9" ht="15" x14ac:dyDescent="0.25">
      <c r="A168" s="1" t="s">
        <v>188</v>
      </c>
      <c r="B168" s="16" t="s">
        <v>27</v>
      </c>
      <c r="C168" s="14">
        <v>215469701</v>
      </c>
      <c r="D168" s="14">
        <f>183174235+28002</f>
        <v>183202237</v>
      </c>
      <c r="E168" s="14"/>
      <c r="F168" s="14"/>
      <c r="G168" s="14"/>
      <c r="H168" s="15">
        <f>SUM(C168:G168)</f>
        <v>398671938</v>
      </c>
      <c r="I168" s="15"/>
    </row>
    <row r="169" spans="1:9" ht="15" x14ac:dyDescent="0.25">
      <c r="A169" s="1" t="s">
        <v>189</v>
      </c>
      <c r="B169" s="16" t="s">
        <v>190</v>
      </c>
      <c r="C169" s="1">
        <v>58657322</v>
      </c>
      <c r="D169" s="1">
        <v>52740788</v>
      </c>
      <c r="E169" s="14"/>
      <c r="F169" s="14"/>
      <c r="G169" s="14"/>
      <c r="H169" s="15">
        <f>SUM(C169:G169)</f>
        <v>111398110</v>
      </c>
      <c r="I169" s="15"/>
    </row>
    <row r="170" spans="1:9" ht="15" x14ac:dyDescent="0.25">
      <c r="C170" s="14"/>
      <c r="D170" s="14"/>
      <c r="E170" s="14"/>
      <c r="F170" s="14"/>
      <c r="G170" s="14"/>
      <c r="H170" s="15"/>
      <c r="I170" s="15"/>
    </row>
    <row r="171" spans="1:9" ht="15" x14ac:dyDescent="0.25">
      <c r="A171" s="1" t="s">
        <v>191</v>
      </c>
      <c r="C171" s="14">
        <v>207072726</v>
      </c>
      <c r="D171" s="14">
        <v>324197153</v>
      </c>
      <c r="E171" s="14"/>
      <c r="F171" s="14"/>
      <c r="G171" s="14"/>
      <c r="H171" s="15"/>
      <c r="I171" s="15">
        <f>SUM(C171:G171)</f>
        <v>531269879</v>
      </c>
    </row>
    <row r="172" spans="1:9" ht="15" x14ac:dyDescent="0.25">
      <c r="A172" s="1" t="s">
        <v>192</v>
      </c>
      <c r="B172" s="16" t="s">
        <v>67</v>
      </c>
      <c r="C172" s="14">
        <v>499622</v>
      </c>
      <c r="D172" s="14">
        <v>2879583</v>
      </c>
      <c r="E172" s="14"/>
      <c r="F172" s="14"/>
      <c r="G172" s="14"/>
      <c r="H172" s="15">
        <f>SUM(C172:G172)</f>
        <v>3379205</v>
      </c>
      <c r="I172" s="15"/>
    </row>
    <row r="173" spans="1:9" ht="15" x14ac:dyDescent="0.25">
      <c r="A173" s="1" t="s">
        <v>193</v>
      </c>
      <c r="B173" s="16" t="s">
        <v>108</v>
      </c>
      <c r="C173" s="14">
        <v>7854036</v>
      </c>
      <c r="D173" s="14">
        <v>21442715</v>
      </c>
      <c r="E173" s="14"/>
      <c r="F173" s="14"/>
      <c r="G173" s="14"/>
      <c r="H173" s="15">
        <f>SUM(C173:G173)</f>
        <v>29296751</v>
      </c>
      <c r="I173" s="15"/>
    </row>
    <row r="174" spans="1:9" ht="15" x14ac:dyDescent="0.25">
      <c r="A174" s="1" t="s">
        <v>194</v>
      </c>
      <c r="B174" s="16" t="s">
        <v>30</v>
      </c>
      <c r="C174" s="14">
        <v>20198663</v>
      </c>
      <c r="D174" s="14">
        <v>35617046</v>
      </c>
      <c r="E174" s="14"/>
      <c r="F174" s="14"/>
      <c r="G174" s="14"/>
      <c r="H174" s="15">
        <f>SUM(C174:G174)</f>
        <v>55815709</v>
      </c>
      <c r="I174" s="15"/>
    </row>
    <row r="175" spans="1:9" ht="15" x14ac:dyDescent="0.25">
      <c r="A175" s="1" t="s">
        <v>195</v>
      </c>
      <c r="B175" s="16" t="s">
        <v>110</v>
      </c>
      <c r="C175" s="14">
        <v>7793118</v>
      </c>
      <c r="D175" s="14">
        <v>4380535</v>
      </c>
      <c r="E175" s="14"/>
      <c r="F175" s="14"/>
      <c r="G175" s="14"/>
      <c r="H175" s="15">
        <f>SUM(C175:G175)</f>
        <v>12173653</v>
      </c>
      <c r="I175" s="15"/>
    </row>
    <row r="176" spans="1:9" ht="15" x14ac:dyDescent="0.25">
      <c r="A176" s="1" t="s">
        <v>196</v>
      </c>
      <c r="B176" s="16" t="s">
        <v>197</v>
      </c>
      <c r="C176" s="14">
        <v>1074606</v>
      </c>
      <c r="D176" s="14">
        <v>1382303</v>
      </c>
      <c r="E176" s="14"/>
      <c r="F176" s="14"/>
      <c r="G176" s="14"/>
      <c r="H176" s="15">
        <f>SUM(C176:G176)</f>
        <v>2456909</v>
      </c>
      <c r="I176" s="15"/>
    </row>
    <row r="177" spans="1:11" ht="15" x14ac:dyDescent="0.25">
      <c r="C177" s="14"/>
      <c r="D177" s="14"/>
      <c r="E177" s="14"/>
      <c r="F177" s="14"/>
      <c r="G177" s="14"/>
      <c r="H177" s="15"/>
      <c r="I177" s="15"/>
    </row>
    <row r="178" spans="1:11" ht="15" x14ac:dyDescent="0.25">
      <c r="A178" s="1" t="s">
        <v>198</v>
      </c>
      <c r="C178" s="14">
        <v>44444999</v>
      </c>
      <c r="D178" s="14">
        <f>126592735+7750574</f>
        <v>134343309</v>
      </c>
      <c r="E178" s="31">
        <v>9411610</v>
      </c>
      <c r="F178" s="14">
        <v>2024465</v>
      </c>
      <c r="G178" s="14"/>
      <c r="H178" s="15"/>
      <c r="I178" s="15">
        <f>SUM(C178:G178)</f>
        <v>190224383</v>
      </c>
      <c r="J178" s="17"/>
    </row>
    <row r="179" spans="1:11" ht="15" x14ac:dyDescent="0.25">
      <c r="A179" s="1" t="s">
        <v>199</v>
      </c>
      <c r="B179" s="16" t="s">
        <v>27</v>
      </c>
      <c r="C179" s="14">
        <v>21023045</v>
      </c>
      <c r="D179" s="14">
        <f>17925015+27089</f>
        <v>17952104</v>
      </c>
      <c r="E179" s="14"/>
      <c r="F179" s="14"/>
      <c r="G179" s="14"/>
      <c r="H179" s="15">
        <f>SUM(C179:G179)</f>
        <v>38975149</v>
      </c>
      <c r="I179" s="15"/>
    </row>
    <row r="180" spans="1:11" ht="15" x14ac:dyDescent="0.25">
      <c r="A180" s="1" t="s">
        <v>200</v>
      </c>
      <c r="B180" s="16" t="s">
        <v>201</v>
      </c>
      <c r="C180" s="14">
        <v>1140184</v>
      </c>
      <c r="D180" s="14">
        <f>1645949+96</f>
        <v>1646045</v>
      </c>
      <c r="E180" s="14"/>
      <c r="F180" s="14"/>
      <c r="G180" s="14"/>
      <c r="H180" s="15">
        <f>SUM(C180:G180)</f>
        <v>2786229</v>
      </c>
      <c r="I180" s="15"/>
    </row>
    <row r="181" spans="1:11" ht="15" x14ac:dyDescent="0.25">
      <c r="A181" s="1" t="s">
        <v>202</v>
      </c>
      <c r="B181" s="16" t="s">
        <v>203</v>
      </c>
      <c r="C181" s="14">
        <v>615740</v>
      </c>
      <c r="D181" s="14">
        <v>636535</v>
      </c>
      <c r="E181" s="14"/>
      <c r="F181" s="14"/>
      <c r="G181" s="14"/>
      <c r="H181" s="15">
        <f>SUM(C181:G181)</f>
        <v>1252275</v>
      </c>
      <c r="I181" s="15"/>
    </row>
    <row r="182" spans="1:11" ht="15" x14ac:dyDescent="0.25">
      <c r="A182" s="1" t="s">
        <v>204</v>
      </c>
      <c r="B182" s="16" t="s">
        <v>205</v>
      </c>
      <c r="C182" s="14">
        <v>136038</v>
      </c>
      <c r="D182" s="14">
        <f>689837+202</f>
        <v>690039</v>
      </c>
      <c r="E182" s="14"/>
      <c r="F182" s="14"/>
      <c r="G182" s="14"/>
      <c r="H182" s="15">
        <f>SUM(C182:G182)</f>
        <v>826077</v>
      </c>
      <c r="I182" s="15"/>
    </row>
    <row r="183" spans="1:11" ht="15" x14ac:dyDescent="0.25">
      <c r="C183" s="14"/>
      <c r="D183" s="14"/>
      <c r="E183" s="14"/>
      <c r="F183" s="14"/>
      <c r="G183" s="14"/>
      <c r="H183" s="15"/>
      <c r="I183" s="15"/>
    </row>
    <row r="184" spans="1:11" ht="15" x14ac:dyDescent="0.25">
      <c r="A184" s="1" t="s">
        <v>206</v>
      </c>
      <c r="C184" s="14">
        <v>1331872963</v>
      </c>
      <c r="D184" s="14">
        <v>563375991</v>
      </c>
      <c r="E184" s="14"/>
      <c r="F184" s="14"/>
      <c r="G184" s="14"/>
      <c r="H184" s="15"/>
      <c r="I184" s="15">
        <f>SUM(C184:G184)</f>
        <v>1895248954</v>
      </c>
    </row>
    <row r="185" spans="1:11" ht="15" x14ac:dyDescent="0.25">
      <c r="A185" s="1" t="s">
        <v>207</v>
      </c>
      <c r="B185" s="16" t="s">
        <v>58</v>
      </c>
      <c r="C185" s="14">
        <v>98772845</v>
      </c>
      <c r="D185" s="14">
        <v>85873348</v>
      </c>
      <c r="E185" s="14"/>
      <c r="F185" s="14"/>
      <c r="G185" s="14"/>
      <c r="H185" s="15">
        <f>SUM(C185:G185)</f>
        <v>184646193</v>
      </c>
      <c r="I185" s="15"/>
    </row>
    <row r="186" spans="1:11" ht="15" x14ac:dyDescent="0.25">
      <c r="A186" s="1" t="s">
        <v>208</v>
      </c>
      <c r="B186" s="16" t="s">
        <v>209</v>
      </c>
      <c r="C186" s="14">
        <v>99716552</v>
      </c>
      <c r="D186" s="14">
        <v>16368893</v>
      </c>
      <c r="E186" s="14"/>
      <c r="F186" s="14"/>
      <c r="G186" s="14"/>
      <c r="H186" s="15">
        <f>SUM(C186:G186)</f>
        <v>116085445</v>
      </c>
      <c r="I186" s="15"/>
    </row>
    <row r="187" spans="1:11" ht="15" x14ac:dyDescent="0.25">
      <c r="A187" s="1" t="s">
        <v>210</v>
      </c>
      <c r="B187" s="16" t="s">
        <v>27</v>
      </c>
      <c r="C187" s="14">
        <v>409280279</v>
      </c>
      <c r="D187" s="14">
        <v>143819280</v>
      </c>
      <c r="E187" s="14"/>
      <c r="F187" s="14"/>
      <c r="G187" s="14"/>
      <c r="H187" s="15">
        <f>SUM(C187:G187)</f>
        <v>553099559</v>
      </c>
      <c r="I187" s="15"/>
    </row>
    <row r="188" spans="1:11" ht="15" x14ac:dyDescent="0.25">
      <c r="A188" s="1" t="s">
        <v>211</v>
      </c>
      <c r="B188" s="16" t="s">
        <v>212</v>
      </c>
      <c r="C188" s="14">
        <v>69250158</v>
      </c>
      <c r="D188" s="14">
        <v>8203461</v>
      </c>
      <c r="E188" s="14"/>
      <c r="F188" s="14"/>
      <c r="G188" s="14"/>
      <c r="H188" s="15">
        <f>SUM(C188:G188)</f>
        <v>77453619</v>
      </c>
      <c r="I188"/>
    </row>
    <row r="189" spans="1:11" ht="15" x14ac:dyDescent="0.25">
      <c r="A189" s="1" t="s">
        <v>213</v>
      </c>
      <c r="B189" s="16" t="s">
        <v>214</v>
      </c>
      <c r="C189" s="14">
        <v>89214393</v>
      </c>
      <c r="D189" s="14">
        <v>10570954</v>
      </c>
      <c r="E189" s="14"/>
      <c r="F189" s="14"/>
      <c r="G189" s="14"/>
      <c r="H189" s="15">
        <f>SUM(C189:G189)</f>
        <v>99785347</v>
      </c>
      <c r="I189"/>
    </row>
    <row r="190" spans="1:11" x14ac:dyDescent="0.2">
      <c r="A190" s="34" t="s">
        <v>215</v>
      </c>
      <c r="B190" s="23" t="s">
        <v>216</v>
      </c>
      <c r="C190" s="35">
        <f>C8+C15+C18+C24+C28+C36+C42+C45+C54+C60+C66++++++++++C70+++++C74+C78+C85+C92+C94+C98+C101+C106+C111+C117+C121+C128+C137+C143+C147+C153+C161+C165+C171+C178+C184</f>
        <v>46196224753</v>
      </c>
      <c r="D190" s="35">
        <f>D8+D15+D18+D24+D28+D36+D42+D45+D54+D60+D66+D70+D74+D78+D85+D92+D94+D98+D101+D106+D111+D117+D121+D128+D137+D143+D147+D153+D161+D165+D171+D178+D184</f>
        <v>23750681462</v>
      </c>
      <c r="E190" s="35">
        <f>E18+E28+E54+E78+E98+E111+E117+E121+E128+E137+E178</f>
        <v>33008203253</v>
      </c>
      <c r="F190" s="35">
        <f>SUM(F8:F187)-F55-F56-F79-F80-F81-F138-F139-F140</f>
        <v>7785758924.8199997</v>
      </c>
      <c r="G190" s="35">
        <f>G8+G15+G18+G24+G28+G36+G42+G45+G54+G60+G66+G70+G74+G78+G85+G92+G94+G98+G101+G106+G111+G117+G121+G128+G137+G143+G147+G153+G161+G165+G171+G178+G184</f>
        <v>142644906</v>
      </c>
      <c r="H190" s="23"/>
      <c r="I190" s="35"/>
      <c r="J190" s="29">
        <f>+C190+D190+E190+F190+G190</f>
        <v>110883513298.82001</v>
      </c>
      <c r="K190" s="1" t="s">
        <v>217</v>
      </c>
    </row>
    <row r="191" spans="1:11" x14ac:dyDescent="0.2">
      <c r="A191" s="36" t="s">
        <v>215</v>
      </c>
      <c r="B191" s="37" t="s">
        <v>218</v>
      </c>
      <c r="C191" s="38">
        <f>SUM(C8:C189)-C190</f>
        <v>31395352167</v>
      </c>
      <c r="D191" s="38">
        <f>SUM(D8:D189)-D190</f>
        <v>10879131336</v>
      </c>
      <c r="E191" s="38">
        <f>SUM(E8:E189)-E190</f>
        <v>164399491</v>
      </c>
      <c r="F191" s="38">
        <f>SUM(F8:F189)-F190</f>
        <v>31958571</v>
      </c>
      <c r="G191" s="38">
        <f>SUM(G8:G189)-G190</f>
        <v>0</v>
      </c>
      <c r="H191" s="38">
        <f>SUM(H9:H189)</f>
        <v>42453444008</v>
      </c>
      <c r="I191" s="47">
        <f>SUM(I8:I190)</f>
        <v>110900910855.82001</v>
      </c>
    </row>
    <row r="192" spans="1:11" ht="18" customHeight="1" x14ac:dyDescent="0.2">
      <c r="A192" s="39" t="s">
        <v>219</v>
      </c>
      <c r="B192" s="40"/>
      <c r="C192" s="40"/>
      <c r="D192" s="41"/>
      <c r="E192" s="42">
        <f>[1]export_valuations_2022!N76</f>
        <v>18585877037</v>
      </c>
      <c r="F192" s="42">
        <f>[1]export_valuations_2022!N72</f>
        <v>4566793615.29</v>
      </c>
      <c r="G192" s="29" t="s">
        <v>220</v>
      </c>
      <c r="H192" s="29">
        <f>+G191+F191+E191+D191+C191</f>
        <v>42470841565</v>
      </c>
      <c r="J192" s="17"/>
    </row>
    <row r="193" spans="1:9" ht="30" x14ac:dyDescent="0.25">
      <c r="A193" s="39" t="s">
        <v>221</v>
      </c>
      <c r="C193" s="29"/>
      <c r="D193" s="29"/>
      <c r="E193" s="42">
        <f>[1]export_valuations_2022!N77</f>
        <v>100009550</v>
      </c>
      <c r="F193" s="42">
        <f>[1]export_valuations_2022!N73</f>
        <v>22853096.289999999</v>
      </c>
      <c r="G193" s="43" t="s">
        <v>222</v>
      </c>
      <c r="H193" s="41">
        <f>H192+I92</f>
        <v>43467105698</v>
      </c>
      <c r="I193" s="41">
        <f>H192-H191</f>
        <v>17397557</v>
      </c>
    </row>
    <row r="194" spans="1:9" ht="15" x14ac:dyDescent="0.25">
      <c r="A194" s="44"/>
      <c r="C194" s="45"/>
      <c r="D194" s="46"/>
      <c r="E194" s="46"/>
      <c r="F194" s="46"/>
      <c r="G194" s="46"/>
      <c r="H194" s="46"/>
      <c r="I194" s="46"/>
    </row>
    <row r="197" spans="1:9" x14ac:dyDescent="0.2">
      <c r="E197" s="19"/>
    </row>
  </sheetData>
  <printOptions gridLines="1"/>
  <pageMargins left="0.7" right="0.7" top="0.75" bottom="0.75" header="0.3" footer="0.3"/>
  <pageSetup scale="55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Catrina Chavez</dc:creator>
  <cp:lastModifiedBy>Catrina Chavez</cp:lastModifiedBy>
  <cp:lastPrinted>2024-05-07T15:17:21Z</cp:lastPrinted>
  <dcterms:created xsi:type="dcterms:W3CDTF">2023-05-02T17:51:10Z</dcterms:created>
  <dcterms:modified xsi:type="dcterms:W3CDTF">2024-05-07T22:10:24Z</dcterms:modified>
</cp:coreProperties>
</file>