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Lodgers Tax\Lodgers Tax Summary REPORTS\FY 2017 Lodgers Tax Report\"/>
    </mc:Choice>
  </mc:AlternateContent>
  <bookViews>
    <workbookView xWindow="-2505" yWindow="0" windowWidth="2505" windowHeight="0" tabRatio="731" firstSheet="8" activeTab="9"/>
  </bookViews>
  <sheets>
    <sheet name="LTaxCounty10" sheetId="2" state="hidden" r:id="rId1"/>
    <sheet name="LTaxMuni11" sheetId="4" state="hidden" r:id="rId2"/>
    <sheet name="LTaxCounty12" sheetId="5" state="hidden" r:id="rId3"/>
    <sheet name="LTaxMuni12" sheetId="6" state="hidden" r:id="rId4"/>
    <sheet name="LTax County 13" sheetId="7" state="hidden" r:id="rId5"/>
    <sheet name="LTax Muni 13" sheetId="8" state="hidden" r:id="rId6"/>
    <sheet name="LTax County 14" sheetId="9" state="hidden" r:id="rId7"/>
    <sheet name="LTax Muni 14" sheetId="10" state="hidden" r:id="rId8"/>
    <sheet name="LTax County 2017" sheetId="16" r:id="rId9"/>
    <sheet name="LTax Muni 2017" sheetId="17" r:id="rId10"/>
  </sheets>
  <definedNames>
    <definedName name="_xlnm.Print_Area" localSheetId="8">'LTax County 2017'!$A$1:$J$35</definedName>
    <definedName name="_xlnm.Print_Area" localSheetId="9">'LTax Muni 2017'!$B$1:$H$81</definedName>
    <definedName name="_xlnm.Print_Area" localSheetId="0">LTaxCounty10!$A$1:$K$38</definedName>
    <definedName name="_xlnm.Print_Titles" localSheetId="9">'LTax Muni 2017'!$1:$8</definedName>
  </definedNames>
  <calcPr calcId="152511"/>
</workbook>
</file>

<file path=xl/calcChain.xml><?xml version="1.0" encoding="utf-8"?>
<calcChain xmlns="http://schemas.openxmlformats.org/spreadsheetml/2006/main">
  <c r="G62" i="17" l="1"/>
  <c r="G52" i="17"/>
  <c r="G74" i="17" l="1"/>
  <c r="F74" i="17"/>
  <c r="G28" i="17" l="1"/>
  <c r="F28" i="17"/>
  <c r="G27" i="17" l="1"/>
  <c r="G24" i="17" l="1"/>
  <c r="G53" i="17"/>
  <c r="G15" i="17"/>
  <c r="G48" i="17" l="1"/>
  <c r="G20" i="17" l="1"/>
  <c r="G65" i="17" l="1"/>
  <c r="F65" i="17"/>
  <c r="G67" i="17" l="1"/>
  <c r="G72" i="17" l="1"/>
  <c r="F72" i="17"/>
  <c r="E72" i="17"/>
  <c r="D72" i="17"/>
  <c r="G64" i="17"/>
  <c r="F64" i="17"/>
  <c r="E64" i="17"/>
  <c r="D64" i="17"/>
  <c r="G60" i="17"/>
  <c r="F60" i="17"/>
  <c r="E60" i="17"/>
  <c r="D60" i="17"/>
  <c r="G43" i="17"/>
  <c r="F43" i="17"/>
  <c r="E43" i="17"/>
  <c r="D43" i="17"/>
  <c r="G34" i="17"/>
  <c r="F34" i="17"/>
  <c r="E34" i="17"/>
  <c r="G37" i="17" l="1"/>
  <c r="G63" i="17"/>
  <c r="G73" i="17" l="1"/>
  <c r="F73" i="17"/>
  <c r="E73" i="17"/>
  <c r="G57" i="17"/>
  <c r="F57" i="17"/>
  <c r="E57" i="17"/>
  <c r="G42" i="17"/>
  <c r="J22" i="16" l="1"/>
  <c r="I22" i="16"/>
  <c r="H22" i="16"/>
  <c r="I24" i="16" l="1"/>
  <c r="J24" i="16" s="1"/>
  <c r="H24" i="16"/>
  <c r="G24" i="16"/>
  <c r="F24" i="16"/>
  <c r="J26" i="16" l="1"/>
  <c r="I26" i="16"/>
  <c r="H26" i="16"/>
  <c r="G26" i="16" l="1"/>
  <c r="J12" i="16"/>
  <c r="H12" i="16"/>
  <c r="G12" i="16" l="1"/>
  <c r="I16" i="16"/>
  <c r="H16" i="16"/>
  <c r="G16" i="16"/>
  <c r="J16" i="16" s="1"/>
  <c r="G75" i="17"/>
  <c r="F75" i="17"/>
  <c r="E75" i="17"/>
  <c r="E74" i="17"/>
  <c r="D74" i="17"/>
  <c r="D73" i="17"/>
  <c r="H73" i="17" s="1"/>
  <c r="G71" i="17"/>
  <c r="F71" i="17"/>
  <c r="E71" i="17"/>
  <c r="G70" i="17"/>
  <c r="F70" i="17"/>
  <c r="E70" i="17"/>
  <c r="D70" i="17"/>
  <c r="H70" i="17" s="1"/>
  <c r="G69" i="17"/>
  <c r="F69" i="17"/>
  <c r="E69" i="17"/>
  <c r="D69" i="17"/>
  <c r="G68" i="17"/>
  <c r="F68" i="17"/>
  <c r="H68" i="17" s="1"/>
  <c r="E68" i="17"/>
  <c r="D68" i="17"/>
  <c r="E67" i="17"/>
  <c r="H67" i="17" s="1"/>
  <c r="G66" i="17"/>
  <c r="F66" i="17"/>
  <c r="E66" i="17"/>
  <c r="D66" i="17"/>
  <c r="E65" i="17"/>
  <c r="H65" i="17" s="1"/>
  <c r="D65" i="17"/>
  <c r="F63" i="17"/>
  <c r="E63" i="17"/>
  <c r="D63" i="17"/>
  <c r="H63" i="17" s="1"/>
  <c r="F62" i="17"/>
  <c r="E62" i="17"/>
  <c r="D62" i="17"/>
  <c r="G61" i="17"/>
  <c r="F61" i="17"/>
  <c r="E61" i="17"/>
  <c r="D61" i="17"/>
  <c r="G59" i="17"/>
  <c r="F59" i="17"/>
  <c r="E59" i="17"/>
  <c r="D59" i="17"/>
  <c r="G58" i="17"/>
  <c r="F58" i="17"/>
  <c r="E58" i="17"/>
  <c r="D58" i="17"/>
  <c r="G56" i="17"/>
  <c r="H56" i="17" s="1"/>
  <c r="F56" i="17"/>
  <c r="E56" i="17"/>
  <c r="D56" i="17"/>
  <c r="G55" i="17"/>
  <c r="F55" i="17"/>
  <c r="E55" i="17"/>
  <c r="D55" i="17"/>
  <c r="G54" i="17"/>
  <c r="F54" i="17"/>
  <c r="E54" i="17"/>
  <c r="D54" i="17"/>
  <c r="H54" i="17" s="1"/>
  <c r="F53" i="17"/>
  <c r="E53" i="17"/>
  <c r="D53" i="17"/>
  <c r="F52" i="17"/>
  <c r="E52" i="17"/>
  <c r="H52" i="17" s="1"/>
  <c r="G51" i="17"/>
  <c r="F51" i="17"/>
  <c r="E51" i="17"/>
  <c r="G50" i="17"/>
  <c r="F50" i="17"/>
  <c r="E50" i="17"/>
  <c r="G49" i="17"/>
  <c r="F49" i="17"/>
  <c r="E49" i="17"/>
  <c r="D49" i="17"/>
  <c r="F48" i="17"/>
  <c r="E48" i="17"/>
  <c r="D48" i="17"/>
  <c r="G47" i="17"/>
  <c r="F47" i="17"/>
  <c r="E47" i="17"/>
  <c r="D47" i="17"/>
  <c r="G46" i="17"/>
  <c r="F46" i="17"/>
  <c r="E46" i="17"/>
  <c r="H46" i="17" s="1"/>
  <c r="G45" i="17"/>
  <c r="F45" i="17"/>
  <c r="E45" i="17"/>
  <c r="D45" i="17"/>
  <c r="G44" i="17"/>
  <c r="F44" i="17"/>
  <c r="E44" i="17"/>
  <c r="D44" i="17"/>
  <c r="F42" i="17"/>
  <c r="E42" i="17"/>
  <c r="D42" i="17"/>
  <c r="G41" i="17"/>
  <c r="F41" i="17"/>
  <c r="E41" i="17"/>
  <c r="D41" i="17"/>
  <c r="G39" i="17"/>
  <c r="F39" i="17"/>
  <c r="E39" i="17"/>
  <c r="F38" i="17"/>
  <c r="E38" i="17"/>
  <c r="H38" i="17" s="1"/>
  <c r="F37" i="17"/>
  <c r="E37" i="17"/>
  <c r="G36" i="17"/>
  <c r="F36" i="17"/>
  <c r="H36" i="17" s="1"/>
  <c r="E36" i="17"/>
  <c r="G35" i="17"/>
  <c r="F35" i="17"/>
  <c r="E35" i="17"/>
  <c r="G33" i="17"/>
  <c r="F33" i="17"/>
  <c r="E33" i="17"/>
  <c r="D33" i="17"/>
  <c r="G32" i="17"/>
  <c r="F32" i="17"/>
  <c r="E32" i="17"/>
  <c r="D32" i="17"/>
  <c r="G31" i="17"/>
  <c r="F31" i="17"/>
  <c r="E31" i="17"/>
  <c r="G30" i="17"/>
  <c r="H30" i="17" s="1"/>
  <c r="F30" i="17"/>
  <c r="E30" i="17"/>
  <c r="D30" i="17"/>
  <c r="G29" i="17"/>
  <c r="F29" i="17"/>
  <c r="E29" i="17"/>
  <c r="D29" i="17"/>
  <c r="E28" i="17"/>
  <c r="H28" i="17" s="1"/>
  <c r="F27" i="17"/>
  <c r="E27" i="17"/>
  <c r="H27" i="17" s="1"/>
  <c r="G26" i="17"/>
  <c r="F26" i="17"/>
  <c r="E26" i="17"/>
  <c r="G25" i="17"/>
  <c r="F25" i="17"/>
  <c r="E25" i="17"/>
  <c r="D25" i="17"/>
  <c r="F24" i="17"/>
  <c r="E24" i="17"/>
  <c r="H24" i="17" s="1"/>
  <c r="G23" i="17"/>
  <c r="F23" i="17"/>
  <c r="E23" i="17"/>
  <c r="D23" i="17"/>
  <c r="G22" i="17"/>
  <c r="F22" i="17"/>
  <c r="E22" i="17"/>
  <c r="H34" i="17"/>
  <c r="H35" i="17"/>
  <c r="H37" i="17"/>
  <c r="H40" i="17"/>
  <c r="H41" i="17"/>
  <c r="H43" i="17"/>
  <c r="H53" i="17"/>
  <c r="H60" i="17"/>
  <c r="H64" i="17"/>
  <c r="H72" i="17"/>
  <c r="H31" i="17"/>
  <c r="H21" i="17"/>
  <c r="F20" i="17"/>
  <c r="E20" i="17"/>
  <c r="H20" i="17" s="1"/>
  <c r="H19" i="17"/>
  <c r="F18" i="17"/>
  <c r="G17" i="17"/>
  <c r="F17" i="17"/>
  <c r="G12" i="17"/>
  <c r="F12" i="17"/>
  <c r="E12" i="17"/>
  <c r="D18" i="17"/>
  <c r="E17" i="17"/>
  <c r="D17" i="17"/>
  <c r="G16" i="17"/>
  <c r="F16" i="17"/>
  <c r="E16" i="17"/>
  <c r="D16" i="17"/>
  <c r="H16" i="17" s="1"/>
  <c r="F15" i="17"/>
  <c r="E15" i="17"/>
  <c r="D15" i="17"/>
  <c r="H15" i="17" s="1"/>
  <c r="G14" i="17"/>
  <c r="F14" i="17"/>
  <c r="E14" i="17"/>
  <c r="D14" i="17"/>
  <c r="G13" i="17"/>
  <c r="F13" i="17"/>
  <c r="E13" i="17"/>
  <c r="D13" i="17"/>
  <c r="D12" i="17"/>
  <c r="H12" i="17" s="1"/>
  <c r="G11" i="17"/>
  <c r="F11" i="17"/>
  <c r="D11" i="17"/>
  <c r="F10" i="17"/>
  <c r="E10" i="17"/>
  <c r="D10" i="17"/>
  <c r="G9" i="17"/>
  <c r="F9" i="17"/>
  <c r="E9" i="17"/>
  <c r="E11" i="17" l="1"/>
  <c r="H11" i="17" s="1"/>
  <c r="H13" i="17"/>
  <c r="H14" i="17"/>
  <c r="H23" i="17"/>
  <c r="H25" i="17"/>
  <c r="H26" i="17"/>
  <c r="H69" i="17"/>
  <c r="H61" i="17"/>
  <c r="H62" i="17"/>
  <c r="G10" i="17"/>
  <c r="G77" i="17" s="1"/>
  <c r="H32" i="17"/>
  <c r="H33" i="17"/>
  <c r="H49" i="17"/>
  <c r="H50" i="17"/>
  <c r="H51" i="17"/>
  <c r="H55" i="17"/>
  <c r="H58" i="17"/>
  <c r="H59" i="17"/>
  <c r="H71" i="17"/>
  <c r="H74" i="17"/>
  <c r="H75" i="17"/>
  <c r="H66" i="17"/>
  <c r="H48" i="17"/>
  <c r="H47" i="17"/>
  <c r="H45" i="17"/>
  <c r="H44" i="17"/>
  <c r="H42" i="17"/>
  <c r="D77" i="17"/>
  <c r="H39" i="17"/>
  <c r="H29" i="17"/>
  <c r="H22" i="17"/>
  <c r="F77" i="17"/>
  <c r="H18" i="17"/>
  <c r="H17" i="17"/>
  <c r="E77" i="17"/>
  <c r="H9" i="17"/>
  <c r="H10" i="17"/>
  <c r="H78" i="17" l="1"/>
  <c r="H77" i="17"/>
  <c r="G22" i="16" l="1"/>
  <c r="F32" i="16" l="1"/>
  <c r="F30" i="16"/>
  <c r="H28" i="16"/>
  <c r="I28" i="16" s="1"/>
  <c r="F26" i="16"/>
  <c r="F20" i="16"/>
  <c r="G20" i="16" s="1"/>
  <c r="H20" i="16" s="1"/>
  <c r="I20" i="16" s="1"/>
  <c r="G18" i="16"/>
  <c r="H18" i="16" s="1"/>
  <c r="G14" i="16"/>
  <c r="H14" i="16" s="1"/>
  <c r="G10" i="16"/>
  <c r="H10" i="16" s="1"/>
  <c r="G30" i="16" l="1"/>
  <c r="H30" i="16" s="1"/>
  <c r="I30" i="16" s="1"/>
  <c r="I14" i="16"/>
  <c r="J14" i="16" s="1"/>
  <c r="J18" i="16"/>
  <c r="I18" i="16"/>
  <c r="I10" i="16"/>
  <c r="J10" i="16" s="1"/>
  <c r="G32" i="16"/>
  <c r="H32" i="16" s="1"/>
  <c r="I32" i="16" s="1"/>
  <c r="J20" i="16"/>
  <c r="J28" i="16"/>
  <c r="J30" i="16" l="1"/>
  <c r="J32" i="16"/>
  <c r="J35" i="16"/>
  <c r="D24" i="10" l="1"/>
  <c r="C24" i="10"/>
  <c r="F24" i="8"/>
  <c r="F8" i="4"/>
  <c r="E8" i="4"/>
  <c r="F9" i="4"/>
  <c r="E9" i="4"/>
  <c r="F10" i="4"/>
  <c r="E10" i="4"/>
  <c r="F12" i="4"/>
  <c r="E12" i="4"/>
  <c r="F13" i="4"/>
  <c r="E13" i="4"/>
  <c r="F14" i="4"/>
  <c r="E14" i="4"/>
  <c r="F16" i="4"/>
  <c r="E16" i="4"/>
  <c r="E17" i="4"/>
  <c r="F18" i="4"/>
  <c r="E18" i="4"/>
  <c r="F19" i="4"/>
  <c r="E19" i="4"/>
  <c r="F20" i="4"/>
  <c r="E20" i="4"/>
  <c r="F21" i="4"/>
  <c r="E21" i="4"/>
  <c r="F22" i="4"/>
  <c r="E22" i="4"/>
  <c r="F23" i="4"/>
  <c r="E23" i="4"/>
  <c r="F24" i="4"/>
  <c r="F25" i="4"/>
  <c r="E25" i="4"/>
  <c r="F26" i="4"/>
  <c r="E26" i="4"/>
  <c r="F28" i="4"/>
  <c r="E28" i="4"/>
  <c r="F29" i="4"/>
  <c r="E29" i="4"/>
  <c r="F30" i="4"/>
  <c r="G31" i="4"/>
  <c r="E31" i="4"/>
  <c r="F32" i="4"/>
  <c r="E32" i="4"/>
  <c r="F33" i="4"/>
  <c r="E33" i="4"/>
  <c r="F34" i="4"/>
  <c r="E34" i="4"/>
  <c r="F35" i="4"/>
  <c r="E35" i="4"/>
  <c r="E36" i="4"/>
  <c r="F37" i="4"/>
  <c r="E37" i="4"/>
  <c r="E38" i="4"/>
  <c r="F39" i="4"/>
  <c r="E39" i="4"/>
  <c r="F40" i="4"/>
  <c r="E40" i="4"/>
  <c r="F41" i="4"/>
  <c r="E41" i="4"/>
  <c r="F42" i="4"/>
  <c r="E42" i="4"/>
  <c r="F43" i="4"/>
  <c r="E43" i="4"/>
  <c r="F44" i="4"/>
  <c r="E44" i="4"/>
  <c r="F45" i="4"/>
  <c r="E45" i="4"/>
  <c r="F46" i="4"/>
  <c r="E46" i="4"/>
  <c r="F47" i="4"/>
  <c r="E47" i="4"/>
  <c r="F48" i="4"/>
  <c r="E48" i="4"/>
  <c r="F49" i="4"/>
  <c r="E49" i="4"/>
  <c r="F50" i="4"/>
  <c r="E50" i="4"/>
  <c r="F52" i="4"/>
  <c r="E52" i="4"/>
  <c r="F53" i="4"/>
  <c r="E53" i="4"/>
  <c r="F54" i="4"/>
  <c r="E54" i="4"/>
  <c r="F55" i="4"/>
  <c r="E55" i="4"/>
  <c r="F56" i="4"/>
  <c r="E56" i="4"/>
  <c r="F57" i="4"/>
  <c r="E57" i="4"/>
  <c r="F58" i="4"/>
  <c r="E58" i="4"/>
  <c r="F59" i="4"/>
  <c r="E59" i="4"/>
  <c r="F60" i="4"/>
  <c r="E60" i="4"/>
  <c r="F61" i="4"/>
  <c r="E61" i="4"/>
  <c r="F62" i="4"/>
  <c r="E62" i="4"/>
  <c r="F63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E16" i="8"/>
  <c r="E73" i="10"/>
  <c r="E70" i="8"/>
  <c r="F70" i="8"/>
  <c r="I33" i="9"/>
  <c r="F73" i="10"/>
  <c r="G74" i="10"/>
  <c r="G73" i="10"/>
  <c r="E49" i="8"/>
  <c r="F49" i="8"/>
  <c r="H13" i="7"/>
  <c r="G71" i="6"/>
  <c r="G61" i="6"/>
  <c r="G14" i="6"/>
  <c r="F24" i="6"/>
  <c r="G24" i="6"/>
  <c r="F15" i="6"/>
  <c r="G15" i="6"/>
  <c r="G9" i="6"/>
  <c r="G8" i="6"/>
  <c r="I29" i="5"/>
  <c r="J29" i="5"/>
  <c r="G70" i="8"/>
  <c r="G49" i="8"/>
  <c r="G15" i="8"/>
  <c r="E14" i="8"/>
  <c r="D55" i="8"/>
  <c r="E55" i="8"/>
  <c r="F55" i="8"/>
  <c r="G55" i="8"/>
  <c r="I13" i="7"/>
  <c r="D39" i="8"/>
  <c r="E39" i="8"/>
  <c r="F39" i="8"/>
  <c r="G39" i="8"/>
  <c r="F23" i="7"/>
  <c r="G23" i="7"/>
  <c r="H23" i="7"/>
  <c r="I23" i="7"/>
  <c r="F29" i="7"/>
  <c r="G29" i="7"/>
  <c r="H29" i="7"/>
  <c r="I29" i="7"/>
  <c r="D21" i="8"/>
  <c r="E21" i="8"/>
  <c r="F21" i="8"/>
  <c r="G21" i="8"/>
  <c r="D44" i="8"/>
  <c r="E44" i="8"/>
  <c r="F44" i="8"/>
  <c r="G44" i="8"/>
  <c r="D65" i="8"/>
  <c r="E65" i="8"/>
  <c r="F65" i="8"/>
  <c r="G65" i="8"/>
  <c r="D25" i="8"/>
  <c r="E25" i="8"/>
  <c r="F25" i="8"/>
  <c r="G25" i="8"/>
  <c r="D26" i="8"/>
  <c r="E26" i="8"/>
  <c r="F26" i="8"/>
  <c r="G26" i="8"/>
  <c r="D27" i="8"/>
  <c r="F19" i="7"/>
  <c r="F21" i="7"/>
  <c r="G19" i="7"/>
  <c r="H19" i="7"/>
  <c r="I19" i="7"/>
  <c r="G21" i="7"/>
  <c r="H21" i="7"/>
  <c r="I21" i="7"/>
  <c r="E27" i="8"/>
  <c r="F27" i="8"/>
  <c r="G27" i="8"/>
  <c r="D19" i="8"/>
  <c r="D48" i="8"/>
  <c r="F11" i="7"/>
  <c r="F48" i="8"/>
  <c r="G48" i="8"/>
  <c r="G11" i="7"/>
  <c r="H11" i="7"/>
  <c r="I11" i="7"/>
  <c r="E19" i="8"/>
  <c r="F19" i="8"/>
  <c r="G19" i="8"/>
  <c r="D61" i="8"/>
  <c r="D60" i="8"/>
  <c r="D46" i="8"/>
  <c r="E60" i="8"/>
  <c r="F60" i="8"/>
  <c r="G60" i="8"/>
  <c r="E46" i="8"/>
  <c r="F46" i="8"/>
  <c r="G46" i="8"/>
  <c r="E61" i="8"/>
  <c r="F61" i="8"/>
  <c r="G61" i="8"/>
  <c r="F17" i="7"/>
  <c r="D14" i="8"/>
  <c r="D12" i="8"/>
  <c r="D10" i="8"/>
  <c r="D69" i="8"/>
  <c r="D41" i="8"/>
  <c r="D40" i="8"/>
  <c r="F27" i="7"/>
  <c r="D64" i="8"/>
  <c r="D31" i="8"/>
  <c r="D35" i="8"/>
  <c r="D16" i="8"/>
  <c r="F16" i="8"/>
  <c r="G16" i="8"/>
  <c r="E31" i="8"/>
  <c r="F31" i="8"/>
  <c r="G31" i="8"/>
  <c r="G27" i="7"/>
  <c r="H27" i="7"/>
  <c r="I27" i="7"/>
  <c r="E41" i="8"/>
  <c r="F41" i="8"/>
  <c r="G41" i="8"/>
  <c r="E10" i="8"/>
  <c r="F10" i="8"/>
  <c r="G10" i="8"/>
  <c r="F14" i="8"/>
  <c r="G14" i="8"/>
  <c r="E35" i="8"/>
  <c r="F35" i="8"/>
  <c r="G35" i="8"/>
  <c r="E64" i="8"/>
  <c r="E40" i="8"/>
  <c r="F40" i="8"/>
  <c r="G40" i="8"/>
  <c r="E69" i="8"/>
  <c r="F69" i="8"/>
  <c r="G69" i="8"/>
  <c r="E12" i="8"/>
  <c r="F12" i="8"/>
  <c r="G12" i="8"/>
  <c r="G17" i="7"/>
  <c r="I17" i="7"/>
  <c r="D45" i="8"/>
  <c r="D63" i="8"/>
  <c r="D30" i="8"/>
  <c r="D67" i="8"/>
  <c r="D52" i="8"/>
  <c r="D9" i="8"/>
  <c r="E9" i="8"/>
  <c r="F9" i="8"/>
  <c r="E67" i="8"/>
  <c r="F67" i="8"/>
  <c r="G67" i="8"/>
  <c r="E63" i="8"/>
  <c r="F63" i="8"/>
  <c r="G63" i="8"/>
  <c r="E52" i="8"/>
  <c r="F52" i="8"/>
  <c r="G52" i="8"/>
  <c r="E30" i="8"/>
  <c r="F30" i="8"/>
  <c r="G30" i="8"/>
  <c r="E45" i="8"/>
  <c r="F45" i="8"/>
  <c r="G45" i="8"/>
  <c r="F64" i="8"/>
  <c r="G64" i="8"/>
  <c r="F58" i="8"/>
  <c r="G9" i="8"/>
  <c r="D34" i="8"/>
  <c r="E34" i="8"/>
  <c r="F34" i="8"/>
  <c r="G34" i="8"/>
  <c r="D42" i="8"/>
  <c r="F31" i="7"/>
  <c r="D18" i="8"/>
  <c r="D53" i="8"/>
  <c r="D43" i="8"/>
  <c r="D66" i="8"/>
  <c r="D37" i="8"/>
  <c r="D57" i="8"/>
  <c r="D62" i="8"/>
  <c r="D51" i="8"/>
  <c r="D20" i="8"/>
  <c r="D54" i="8"/>
  <c r="D56" i="8"/>
  <c r="D17" i="8"/>
  <c r="D23" i="8"/>
  <c r="E17" i="8"/>
  <c r="F17" i="8"/>
  <c r="G17" i="8"/>
  <c r="E54" i="8"/>
  <c r="F54" i="8"/>
  <c r="G54" i="8"/>
  <c r="E51" i="8"/>
  <c r="F51" i="8"/>
  <c r="G51" i="8"/>
  <c r="E57" i="8"/>
  <c r="F57" i="8"/>
  <c r="G57" i="8"/>
  <c r="E66" i="8"/>
  <c r="F66" i="8"/>
  <c r="G66" i="8"/>
  <c r="E53" i="8"/>
  <c r="F53" i="8"/>
  <c r="G53" i="8"/>
  <c r="G31" i="7"/>
  <c r="H31" i="7"/>
  <c r="I31" i="7"/>
  <c r="E23" i="8"/>
  <c r="F23" i="8"/>
  <c r="G23" i="8"/>
  <c r="E56" i="8"/>
  <c r="F56" i="8"/>
  <c r="G56" i="8"/>
  <c r="E20" i="8"/>
  <c r="F20" i="8"/>
  <c r="G20" i="8"/>
  <c r="E62" i="8"/>
  <c r="F62" i="8"/>
  <c r="G62" i="8"/>
  <c r="E37" i="8"/>
  <c r="F37" i="8"/>
  <c r="G37" i="8"/>
  <c r="E43" i="8"/>
  <c r="F43" i="8"/>
  <c r="G43" i="8"/>
  <c r="E18" i="8"/>
  <c r="F18" i="8"/>
  <c r="G18" i="8"/>
  <c r="E42" i="8"/>
  <c r="F42" i="8"/>
  <c r="G42" i="8"/>
  <c r="D32" i="8"/>
  <c r="E32" i="8"/>
  <c r="F32" i="8"/>
  <c r="G32" i="8"/>
  <c r="D28" i="8"/>
  <c r="E28" i="8"/>
  <c r="F28" i="8"/>
  <c r="G28" i="8"/>
  <c r="D33" i="8"/>
  <c r="D29" i="8"/>
  <c r="D50" i="8"/>
  <c r="D8" i="8"/>
  <c r="D36" i="8"/>
  <c r="F25" i="7"/>
  <c r="G25" i="7"/>
  <c r="H25" i="7"/>
  <c r="I25" i="7"/>
  <c r="E8" i="8"/>
  <c r="F8" i="8"/>
  <c r="G8" i="8"/>
  <c r="E29" i="8"/>
  <c r="F29" i="8"/>
  <c r="G29" i="8"/>
  <c r="E36" i="8"/>
  <c r="F36" i="8"/>
  <c r="G36" i="8"/>
  <c r="E50" i="8"/>
  <c r="F50" i="8"/>
  <c r="G50" i="8"/>
  <c r="E33" i="8"/>
  <c r="F33" i="8"/>
  <c r="G33" i="8"/>
  <c r="D24" i="8"/>
  <c r="E55" i="6"/>
  <c r="F55" i="6"/>
  <c r="G55" i="6"/>
  <c r="H55" i="6"/>
  <c r="D13" i="8"/>
  <c r="E13" i="8"/>
  <c r="F13" i="8"/>
  <c r="G13" i="8"/>
  <c r="E24" i="8"/>
  <c r="G24" i="8"/>
  <c r="D68" i="8"/>
  <c r="D59" i="8"/>
  <c r="E59" i="8"/>
  <c r="F59" i="8"/>
  <c r="G59" i="8"/>
  <c r="E68" i="8"/>
  <c r="F68" i="8"/>
  <c r="G68" i="8"/>
  <c r="F15" i="7"/>
  <c r="D38" i="8"/>
  <c r="E38" i="8"/>
  <c r="F38" i="8"/>
  <c r="G38" i="8"/>
  <c r="G15" i="7"/>
  <c r="H15" i="7"/>
  <c r="I15" i="7"/>
  <c r="D22" i="8"/>
  <c r="D11" i="8"/>
  <c r="F9" i="7"/>
  <c r="D58" i="8"/>
  <c r="E58" i="8"/>
  <c r="G58" i="8"/>
  <c r="E11" i="8"/>
  <c r="F11" i="8"/>
  <c r="G11" i="8"/>
  <c r="G9" i="7"/>
  <c r="H9" i="7"/>
  <c r="I9" i="7"/>
  <c r="E22" i="8"/>
  <c r="F22" i="8"/>
  <c r="G22" i="8"/>
  <c r="D47" i="8"/>
  <c r="E47" i="8"/>
  <c r="F47" i="8"/>
  <c r="G47" i="8"/>
  <c r="D71" i="8"/>
  <c r="E71" i="8"/>
  <c r="F71" i="8"/>
  <c r="F73" i="8"/>
  <c r="D73" i="8"/>
  <c r="C73" i="8"/>
  <c r="F33" i="7"/>
  <c r="I33" i="7"/>
  <c r="H33" i="7"/>
  <c r="G33" i="7"/>
  <c r="E33" i="7"/>
  <c r="G71" i="8"/>
  <c r="G73" i="8"/>
  <c r="E73" i="8"/>
  <c r="G74" i="8"/>
  <c r="I34" i="7"/>
  <c r="E25" i="6"/>
  <c r="F25" i="6"/>
  <c r="G25" i="6"/>
  <c r="H71" i="6"/>
  <c r="H59" i="6"/>
  <c r="H45" i="6"/>
  <c r="H24" i="6"/>
  <c r="H15" i="6"/>
  <c r="G1" i="8"/>
  <c r="H25" i="6"/>
  <c r="K23" i="5"/>
  <c r="K13" i="5"/>
  <c r="E65" i="6"/>
  <c r="F65" i="6"/>
  <c r="G65" i="6"/>
  <c r="H19" i="5"/>
  <c r="E61" i="6"/>
  <c r="H61" i="6"/>
  <c r="E60" i="6"/>
  <c r="F60" i="6"/>
  <c r="G60" i="6"/>
  <c r="E68" i="6"/>
  <c r="F68" i="6"/>
  <c r="G68" i="6"/>
  <c r="H65" i="6"/>
  <c r="I19" i="5"/>
  <c r="J19" i="5"/>
  <c r="K19" i="5"/>
  <c r="E17" i="6"/>
  <c r="H17" i="6"/>
  <c r="E41" i="6"/>
  <c r="E40" i="6"/>
  <c r="F41" i="6"/>
  <c r="G41" i="6"/>
  <c r="F40" i="6"/>
  <c r="G40" i="6"/>
  <c r="H40" i="6"/>
  <c r="H60" i="6"/>
  <c r="H68" i="6"/>
  <c r="E11" i="6"/>
  <c r="E69" i="6"/>
  <c r="E16" i="6"/>
  <c r="H41" i="6"/>
  <c r="F69" i="6"/>
  <c r="G69" i="6"/>
  <c r="H69" i="6"/>
  <c r="F16" i="6"/>
  <c r="G16" i="6"/>
  <c r="H16" i="6"/>
  <c r="F11" i="6"/>
  <c r="G11" i="6"/>
  <c r="H11" i="6"/>
  <c r="H21" i="5"/>
  <c r="E48" i="6"/>
  <c r="E14" i="6"/>
  <c r="H14" i="6"/>
  <c r="E13" i="6"/>
  <c r="E34" i="6"/>
  <c r="F13" i="6"/>
  <c r="G13" i="6"/>
  <c r="F48" i="6"/>
  <c r="G48" i="6"/>
  <c r="H48" i="6"/>
  <c r="F34" i="6"/>
  <c r="G34" i="6"/>
  <c r="I21" i="5"/>
  <c r="J21" i="5"/>
  <c r="K21" i="5"/>
  <c r="E30" i="6"/>
  <c r="H34" i="6"/>
  <c r="H13" i="6"/>
  <c r="F30" i="6"/>
  <c r="G30" i="6"/>
  <c r="H30" i="6"/>
  <c r="E20" i="6"/>
  <c r="F20" i="6"/>
  <c r="G20" i="6"/>
  <c r="E21" i="6"/>
  <c r="H20" i="6"/>
  <c r="F21" i="6"/>
  <c r="G21" i="6"/>
  <c r="H21" i="6"/>
  <c r="E26" i="6"/>
  <c r="F26" i="6"/>
  <c r="G26" i="6"/>
  <c r="H26" i="6"/>
  <c r="E44" i="6"/>
  <c r="F44" i="6"/>
  <c r="G44" i="6"/>
  <c r="E27" i="6"/>
  <c r="H27" i="6"/>
  <c r="H30" i="5"/>
  <c r="H11" i="5"/>
  <c r="H44" i="6"/>
  <c r="I30" i="5"/>
  <c r="J30" i="5"/>
  <c r="K30" i="5"/>
  <c r="I11" i="5"/>
  <c r="J11" i="5"/>
  <c r="K11" i="5"/>
  <c r="E57" i="6"/>
  <c r="F57" i="6"/>
  <c r="G57" i="6"/>
  <c r="E66" i="6"/>
  <c r="E49" i="6"/>
  <c r="E10" i="6"/>
  <c r="E56" i="6"/>
  <c r="E53" i="6"/>
  <c r="E18" i="6"/>
  <c r="E9" i="6"/>
  <c r="H9" i="6"/>
  <c r="E33" i="6"/>
  <c r="E50" i="6"/>
  <c r="E19" i="6"/>
  <c r="E46" i="6"/>
  <c r="E70" i="6"/>
  <c r="E43" i="6"/>
  <c r="E63" i="6"/>
  <c r="H57" i="6"/>
  <c r="F63" i="6"/>
  <c r="G63" i="6"/>
  <c r="H63" i="6"/>
  <c r="F70" i="6"/>
  <c r="G70" i="6"/>
  <c r="F19" i="6"/>
  <c r="G19" i="6"/>
  <c r="H19" i="6"/>
  <c r="F33" i="6"/>
  <c r="G33" i="6"/>
  <c r="F18" i="6"/>
  <c r="G18" i="6"/>
  <c r="H18" i="6"/>
  <c r="F56" i="6"/>
  <c r="G56" i="6"/>
  <c r="F49" i="6"/>
  <c r="G49" i="6"/>
  <c r="H49" i="6"/>
  <c r="F43" i="6"/>
  <c r="G43" i="6"/>
  <c r="F46" i="6"/>
  <c r="G46" i="6"/>
  <c r="H46" i="6"/>
  <c r="F50" i="6"/>
  <c r="G50" i="6"/>
  <c r="F53" i="6"/>
  <c r="G53" i="6"/>
  <c r="H53" i="6"/>
  <c r="F10" i="6"/>
  <c r="G10" i="6"/>
  <c r="F66" i="6"/>
  <c r="G66" i="6"/>
  <c r="H66" i="6"/>
  <c r="E31" i="6"/>
  <c r="E67" i="6"/>
  <c r="E23" i="6"/>
  <c r="E37" i="6"/>
  <c r="H10" i="6"/>
  <c r="H50" i="6"/>
  <c r="H43" i="6"/>
  <c r="H56" i="6"/>
  <c r="H33" i="6"/>
  <c r="H70" i="6"/>
  <c r="F37" i="6"/>
  <c r="G37" i="6"/>
  <c r="H37" i="6"/>
  <c r="F67" i="6"/>
  <c r="G67" i="6"/>
  <c r="F23" i="6"/>
  <c r="G23" i="6"/>
  <c r="H23" i="6"/>
  <c r="F31" i="6"/>
  <c r="G31" i="6"/>
  <c r="E52" i="6"/>
  <c r="H31" i="6"/>
  <c r="H67" i="6"/>
  <c r="F52" i="6"/>
  <c r="G52" i="6"/>
  <c r="H52" i="6"/>
  <c r="E54" i="6"/>
  <c r="H17" i="5"/>
  <c r="E42" i="6"/>
  <c r="E35" i="6"/>
  <c r="E64" i="6"/>
  <c r="E32" i="6"/>
  <c r="F32" i="6"/>
  <c r="G32" i="6"/>
  <c r="F35" i="6"/>
  <c r="G35" i="6"/>
  <c r="H35" i="6"/>
  <c r="I17" i="5"/>
  <c r="K17" i="5"/>
  <c r="F64" i="6"/>
  <c r="G64" i="6"/>
  <c r="H64" i="6"/>
  <c r="F42" i="6"/>
  <c r="G42" i="6"/>
  <c r="H42" i="6"/>
  <c r="F54" i="6"/>
  <c r="G54" i="6"/>
  <c r="H54" i="6"/>
  <c r="H27" i="5"/>
  <c r="G32" i="5"/>
  <c r="H32" i="6"/>
  <c r="K27" i="5"/>
  <c r="I27" i="5"/>
  <c r="J27" i="5"/>
  <c r="H9" i="5"/>
  <c r="I9" i="5"/>
  <c r="J9" i="5"/>
  <c r="E51" i="6"/>
  <c r="E39" i="6"/>
  <c r="E28" i="6"/>
  <c r="F39" i="6"/>
  <c r="G39" i="6"/>
  <c r="F28" i="6"/>
  <c r="G28" i="6"/>
  <c r="H28" i="6"/>
  <c r="F51" i="6"/>
  <c r="G51" i="6"/>
  <c r="E8" i="6"/>
  <c r="H8" i="6"/>
  <c r="E29" i="6"/>
  <c r="E38" i="6"/>
  <c r="H25" i="5"/>
  <c r="H51" i="6"/>
  <c r="H39" i="6"/>
  <c r="I25" i="5"/>
  <c r="J25" i="5"/>
  <c r="K25" i="5"/>
  <c r="F29" i="6"/>
  <c r="G29" i="6"/>
  <c r="H29" i="6"/>
  <c r="F38" i="6"/>
  <c r="G38" i="6"/>
  <c r="H38" i="6"/>
  <c r="E12" i="6"/>
  <c r="F12" i="6"/>
  <c r="G12" i="6"/>
  <c r="H12" i="6"/>
  <c r="K9" i="5"/>
  <c r="H15" i="5"/>
  <c r="I15" i="5"/>
  <c r="J15" i="5"/>
  <c r="E22" i="6"/>
  <c r="E36" i="6"/>
  <c r="E58" i="6"/>
  <c r="F36" i="6"/>
  <c r="G36" i="6"/>
  <c r="H36" i="6"/>
  <c r="F58" i="6"/>
  <c r="G58" i="6"/>
  <c r="H58" i="6"/>
  <c r="F22" i="6"/>
  <c r="G22" i="6"/>
  <c r="H22" i="6"/>
  <c r="H32" i="5"/>
  <c r="E47" i="6"/>
  <c r="E62" i="6"/>
  <c r="F47" i="6"/>
  <c r="G47" i="6"/>
  <c r="H47" i="6"/>
  <c r="F62" i="6"/>
  <c r="G62" i="6"/>
  <c r="H62" i="6"/>
  <c r="I32" i="5"/>
  <c r="F11" i="4"/>
  <c r="K15" i="5"/>
  <c r="J32" i="5"/>
  <c r="K32" i="5"/>
  <c r="K33" i="5"/>
  <c r="D72" i="6"/>
  <c r="H1" i="6"/>
  <c r="S1" i="5"/>
  <c r="E72" i="6"/>
  <c r="F72" i="6"/>
  <c r="G72" i="6"/>
  <c r="H73" i="6"/>
  <c r="H72" i="6"/>
  <c r="D8" i="4"/>
  <c r="D25" i="4"/>
  <c r="D64" i="4"/>
  <c r="D26" i="4"/>
  <c r="D10" i="4"/>
  <c r="D9" i="4"/>
  <c r="D53" i="4"/>
  <c r="D41" i="4"/>
  <c r="D40" i="4"/>
  <c r="D54" i="4"/>
  <c r="D63" i="4"/>
  <c r="D44" i="4"/>
  <c r="D34" i="4"/>
  <c r="E63" i="4"/>
  <c r="D68" i="4"/>
  <c r="E68" i="4"/>
  <c r="F68" i="4"/>
  <c r="D69" i="4"/>
  <c r="E69" i="4"/>
  <c r="F69" i="4"/>
  <c r="D60" i="4"/>
  <c r="D59" i="4"/>
  <c r="D12" i="4"/>
  <c r="D48" i="4"/>
  <c r="D31" i="4"/>
  <c r="D16" i="4"/>
  <c r="D18" i="4"/>
  <c r="D37" i="4"/>
  <c r="D21" i="4"/>
  <c r="D46" i="4"/>
  <c r="D50" i="4"/>
  <c r="D38" i="4"/>
  <c r="D61" i="4"/>
  <c r="D27" i="4"/>
  <c r="D58" i="4"/>
  <c r="D36" i="4"/>
  <c r="D65" i="4"/>
  <c r="D56" i="4"/>
  <c r="D23" i="4"/>
  <c r="D66" i="4"/>
  <c r="E66" i="4"/>
  <c r="F66" i="4"/>
  <c r="D29" i="4"/>
  <c r="D28" i="4"/>
  <c r="D33" i="4"/>
  <c r="D20" i="4"/>
  <c r="D32" i="4"/>
  <c r="D49" i="4"/>
  <c r="D14" i="4"/>
  <c r="D17" i="4"/>
  <c r="D51" i="4"/>
  <c r="D42" i="4"/>
  <c r="D52" i="4"/>
  <c r="D35" i="4"/>
  <c r="D39" i="4"/>
  <c r="D62" i="4"/>
  <c r="D43" i="4"/>
  <c r="D45" i="4"/>
  <c r="D19" i="4"/>
  <c r="D47" i="4"/>
  <c r="D55" i="4"/>
  <c r="D22" i="4"/>
  <c r="D70" i="4"/>
  <c r="E70" i="4"/>
  <c r="F70" i="4"/>
  <c r="D67" i="4"/>
  <c r="E67" i="4"/>
  <c r="F67" i="4"/>
  <c r="D13" i="4"/>
  <c r="D57" i="4"/>
  <c r="D11" i="4"/>
  <c r="D72" i="4"/>
  <c r="C72" i="4"/>
  <c r="G64" i="4"/>
  <c r="G41" i="4"/>
  <c r="G36" i="4"/>
  <c r="G24" i="4"/>
  <c r="G17" i="4"/>
  <c r="G15" i="4"/>
  <c r="G1" i="4"/>
  <c r="G9" i="4"/>
  <c r="G10" i="4"/>
  <c r="G11" i="4"/>
  <c r="G12" i="4"/>
  <c r="G13" i="4"/>
  <c r="G14" i="4"/>
  <c r="G16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F72" i="4"/>
  <c r="G8" i="4"/>
  <c r="E72" i="4"/>
  <c r="G68" i="4"/>
  <c r="G39" i="4"/>
  <c r="G35" i="4"/>
  <c r="G27" i="4"/>
  <c r="G23" i="4"/>
  <c r="G19" i="4"/>
  <c r="G67" i="4"/>
  <c r="G40" i="4"/>
  <c r="G34" i="4"/>
  <c r="G30" i="4"/>
  <c r="G26" i="4"/>
  <c r="G20" i="4"/>
  <c r="G70" i="4"/>
  <c r="G66" i="4"/>
  <c r="G37" i="4"/>
  <c r="G33" i="4"/>
  <c r="G29" i="4"/>
  <c r="G25" i="4"/>
  <c r="G21" i="4"/>
  <c r="G69" i="4"/>
  <c r="G65" i="4"/>
  <c r="G38" i="4"/>
  <c r="G32" i="4"/>
  <c r="G28" i="4"/>
  <c r="G22" i="4"/>
  <c r="G18" i="4"/>
  <c r="G73" i="4"/>
  <c r="G72" i="4"/>
  <c r="J13" i="2"/>
  <c r="H11" i="2"/>
  <c r="I11" i="2"/>
  <c r="J11" i="2"/>
  <c r="H21" i="2"/>
  <c r="I21" i="2"/>
  <c r="J21" i="2"/>
  <c r="H17" i="2"/>
  <c r="I17" i="2"/>
  <c r="G31" i="2"/>
  <c r="H19" i="2"/>
  <c r="I19" i="2"/>
  <c r="J19" i="2"/>
  <c r="H9" i="2"/>
  <c r="I9" i="2"/>
  <c r="H29" i="2"/>
  <c r="I29" i="2"/>
  <c r="J29" i="2"/>
  <c r="H27" i="2"/>
  <c r="I27" i="2"/>
  <c r="J27" i="2"/>
  <c r="H25" i="2"/>
  <c r="I25" i="2"/>
  <c r="J25" i="2"/>
  <c r="H23" i="2"/>
  <c r="I23" i="2"/>
  <c r="J23" i="2"/>
  <c r="H15" i="2"/>
  <c r="I15" i="2"/>
  <c r="J15" i="2"/>
  <c r="H13" i="2"/>
  <c r="I13" i="2"/>
  <c r="K22" i="2"/>
  <c r="K15" i="2"/>
  <c r="K11" i="2"/>
  <c r="K13" i="2"/>
  <c r="K21" i="2"/>
  <c r="K25" i="2"/>
  <c r="K27" i="2"/>
  <c r="K29" i="2"/>
  <c r="K1" i="2"/>
  <c r="J9" i="2"/>
  <c r="I31" i="2"/>
  <c r="K17" i="2"/>
  <c r="K23" i="2"/>
  <c r="K19" i="2"/>
  <c r="H31" i="2"/>
  <c r="K32" i="2"/>
  <c r="J31" i="2"/>
  <c r="K31" i="2"/>
  <c r="K9" i="2"/>
  <c r="J34" i="16" l="1"/>
</calcChain>
</file>

<file path=xl/sharedStrings.xml><?xml version="1.0" encoding="utf-8"?>
<sst xmlns="http://schemas.openxmlformats.org/spreadsheetml/2006/main" count="1041" uniqueCount="156">
  <si>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</si>
  <si>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</si>
  <si>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</si>
  <si>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</si>
  <si>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</si>
  <si>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</si>
  <si>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</si>
  <si>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</si>
  <si>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</si>
  <si>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</si>
  <si>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</si>
  <si>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</si>
  <si>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</si>
  <si>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</si>
  <si>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</si>
  <si>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</si>
  <si>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</si>
  <si>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</si>
  <si>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</si>
  <si>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</si>
  <si>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</si>
  <si>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</si>
  <si>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</si>
  <si>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</si>
  <si>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</si>
  <si>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</si>
  <si>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</si>
  <si>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</si>
  <si>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</si>
  <si>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</si>
  <si>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</si>
  <si>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</si>
  <si>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</si>
  <si>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</si>
  <si>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</si>
  <si>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</si>
  <si>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</si>
  <si>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</si>
  <si>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</si>
  <si>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</si>
  <si>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</si>
  <si>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</si>
  <si>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</si>
  <si>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</si>
  <si>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</si>
  <si>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</si>
  <si>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</si>
  <si>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</si>
  <si>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</si>
  <si>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</si>
  <si>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</si>
  <si>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</si>
  <si>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</si>
  <si>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</si>
  <si>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</si>
  <si>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</si>
  <si>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</si>
  <si>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</si>
  <si>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</si>
  <si>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</si>
  <si>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</si>
  <si>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</si>
  <si>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</si>
  <si>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</si>
  <si>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</si>
  <si>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</si>
  <si>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</si>
  <si>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</si>
  <si>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</si>
  <si>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</si>
  <si>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</si>
  <si>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</si>
  <si>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</si>
  <si>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</si>
  <si>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</si>
  <si>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</si>
  <si>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</si>
  <si>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</si>
  <si>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</si>
  <si>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</si>
  <si>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</si>
  <si>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</si>
  <si>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</si>
  <si>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</si>
  <si>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</si>
  <si>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</si>
  <si>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</si>
  <si>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</si>
  <si>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</si>
  <si>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</si>
  <si>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</si>
  <si>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</si>
  <si>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</si>
  <si>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</si>
  <si>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</si>
  <si>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</si>
  <si>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</si>
  <si>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</si>
  <si>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</si>
  <si>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</si>
  <si>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</si>
  <si>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</si>
  <si>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</si>
  <si>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</si>
  <si>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</si>
  <si>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</si>
  <si>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</si>
  <si>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 xml:space="preserve">DFA-LOCAL GOVERNMENT DIVISION </t>
  </si>
  <si>
    <t>DEPARTMENT OF FINANCE &amp; ADMINISTRATION-LOCAL GOVERNMENT DIVISION</t>
  </si>
  <si>
    <t>2009-2010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</si>
  <si>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</si>
  <si>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</si>
  <si>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</si>
  <si>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</si>
  <si>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</si>
  <si>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</si>
  <si>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</si>
  <si>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</si>
  <si>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</si>
  <si>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</si>
  <si>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</si>
  <si>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</si>
  <si>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</si>
  <si>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</si>
  <si>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</si>
  <si>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</si>
  <si>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</si>
  <si>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</si>
  <si>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</si>
  <si>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</si>
  <si>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</si>
  <si>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</si>
  <si>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</si>
  <si>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</si>
  <si>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</si>
  <si>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</si>
  <si>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</si>
  <si>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</si>
  <si>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</si>
  <si>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</si>
  <si>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</si>
  <si>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</si>
  <si>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</si>
  <si>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</si>
  <si>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</si>
  <si>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</si>
  <si>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</si>
  <si>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</si>
  <si>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</si>
  <si>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</si>
  <si>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</si>
  <si>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>Fiscal Year 2016-2017 LODGER'S TAX QUARTERLY REPORTS</t>
  </si>
  <si>
    <t>2016-2017 FISCAL YEAR LODGER'S TAX REPORTS</t>
  </si>
  <si>
    <t>3% to 5%</t>
  </si>
  <si>
    <t>HURLEY*</t>
  </si>
  <si>
    <t xml:space="preserve">*Hotel closed in October 2014, reports still filed.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</si>
</sst>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1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</cellStyleXfs>
  <cellXfs count="300">
    <xf numFmtId="37" fontId="0" fillId="2" borderId="0" xfId="0" applyNumberFormat="1"/>
    <xf numFmtId="37" fontId="1" fillId="2" borderId="1" xfId="0" applyFont="1" applyBorder="1" applyProtection="1"/>
    <xf numFmtId="37" fontId="1" fillId="2" borderId="2" xfId="0" applyFont="1" applyBorder="1" applyProtection="1"/>
    <xf numFmtId="165" fontId="1" fillId="2" borderId="3" xfId="0" applyNumberFormat="1" applyFont="1" applyBorder="1" applyProtection="1"/>
    <xf numFmtId="37" fontId="1" fillId="2" borderId="0" xfId="0" applyFont="1"/>
    <xf numFmtId="37" fontId="1" fillId="2" borderId="4" xfId="0" applyFont="1" applyBorder="1" applyProtection="1"/>
    <xf numFmtId="37" fontId="1" fillId="2" borderId="0" xfId="0" applyFont="1" applyProtection="1"/>
    <xf numFmtId="37" fontId="1" fillId="2" borderId="5" xfId="0" applyFont="1" applyBorder="1" applyProtection="1"/>
    <xf numFmtId="37" fontId="4" fillId="2" borderId="1" xfId="0" applyFont="1" applyBorder="1" applyProtection="1"/>
    <xf numFmtId="37" fontId="4" fillId="2" borderId="2" xfId="0" applyFont="1" applyBorder="1" applyProtection="1"/>
    <xf numFmtId="37" fontId="4" fillId="2" borderId="3" xfId="0" applyFont="1" applyBorder="1" applyProtection="1"/>
    <xf numFmtId="37" fontId="4" fillId="2" borderId="4" xfId="0" applyFont="1" applyBorder="1" applyProtection="1"/>
    <xf numFmtId="37" fontId="4" fillId="2" borderId="0" xfId="0" applyFont="1" applyProtection="1"/>
    <xf numFmtId="37" fontId="4" fillId="2" borderId="0" xfId="0" applyFont="1" applyAlignment="1" applyProtection="1">
      <alignment horizontal="center"/>
    </xf>
    <xf numFmtId="37" fontId="4" fillId="2" borderId="5" xfId="0" applyFont="1" applyBorder="1" applyProtection="1"/>
    <xf numFmtId="37" fontId="4" fillId="2" borderId="5" xfId="0" applyFont="1" applyBorder="1" applyAlignment="1" applyProtection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 applyProtection="1"/>
    <xf numFmtId="37" fontId="5" fillId="2" borderId="6" xfId="0" applyFont="1" applyBorder="1" applyAlignment="1" applyProtection="1">
      <alignment horizontal="center"/>
    </xf>
    <xf numFmtId="37" fontId="5" fillId="2" borderId="7" xfId="0" applyFont="1" applyBorder="1" applyProtection="1"/>
    <xf numFmtId="37" fontId="5" fillId="2" borderId="8" xfId="0" applyFont="1" applyBorder="1" applyProtection="1"/>
    <xf numFmtId="37" fontId="5" fillId="2" borderId="4" xfId="0" applyFont="1" applyBorder="1" applyProtection="1"/>
    <xf numFmtId="37" fontId="5" fillId="2" borderId="0" xfId="0" applyFont="1" applyProtection="1"/>
    <xf numFmtId="37" fontId="5" fillId="2" borderId="5" xfId="0" applyFont="1" applyBorder="1" applyProtection="1"/>
    <xf numFmtId="9" fontId="5" fillId="2" borderId="6" xfId="0" applyNumberFormat="1" applyFont="1" applyBorder="1" applyAlignment="1" applyProtection="1">
      <alignment horizontal="center"/>
    </xf>
    <xf numFmtId="37" fontId="0" fillId="2" borderId="0" xfId="0"/>
    <xf numFmtId="37" fontId="5" fillId="2" borderId="8" xfId="0" applyFont="1" applyBorder="1" applyAlignment="1" applyProtection="1">
      <alignment horizontal="right"/>
    </xf>
    <xf numFmtId="9" fontId="5" fillId="2" borderId="6" xfId="0" applyNumberFormat="1" applyFont="1" applyBorder="1" applyProtection="1"/>
    <xf numFmtId="37" fontId="5" fillId="2" borderId="0" xfId="0" applyFont="1" applyBorder="1" applyProtection="1"/>
    <xf numFmtId="37" fontId="5" fillId="2" borderId="2" xfId="0" applyFont="1" applyBorder="1" applyProtection="1"/>
    <xf numFmtId="37" fontId="5" fillId="2" borderId="9" xfId="0" applyFont="1" applyBorder="1" applyProtection="1"/>
    <xf numFmtId="37" fontId="5" fillId="2" borderId="10" xfId="0" applyFont="1" applyBorder="1" applyProtection="1"/>
    <xf numFmtId="37" fontId="5" fillId="2" borderId="11" xfId="0" applyFont="1" applyBorder="1" applyProtection="1"/>
    <xf numFmtId="37" fontId="6" fillId="2" borderId="0" xfId="0" applyFont="1" applyProtection="1"/>
    <xf numFmtId="37" fontId="2" fillId="2" borderId="4" xfId="0" applyFont="1" applyBorder="1" applyProtection="1"/>
    <xf numFmtId="37" fontId="7" fillId="2" borderId="0" xfId="0" applyFont="1" applyAlignment="1" applyProtection="1">
      <alignment horizontal="right"/>
    </xf>
    <xf numFmtId="37" fontId="8" fillId="2" borderId="4" xfId="0" applyFont="1" applyBorder="1" applyProtection="1"/>
    <xf numFmtId="37" fontId="0" fillId="2" borderId="6" xfId="0" applyBorder="1" applyProtection="1"/>
    <xf numFmtId="37" fontId="0" fillId="2" borderId="7" xfId="0" applyBorder="1" applyProtection="1"/>
    <xf numFmtId="37" fontId="0" fillId="2" borderId="8" xfId="0" applyBorder="1" applyProtection="1"/>
    <xf numFmtId="37" fontId="8" fillId="2" borderId="0" xfId="0" applyFont="1"/>
    <xf numFmtId="9" fontId="9" fillId="2" borderId="12" xfId="0" applyNumberFormat="1" applyFont="1" applyBorder="1" applyProtection="1"/>
    <xf numFmtId="37" fontId="9" fillId="2" borderId="13" xfId="0" applyFont="1" applyBorder="1" applyProtection="1"/>
    <xf numFmtId="37" fontId="9" fillId="2" borderId="14" xfId="0" applyFont="1" applyBorder="1" applyProtection="1"/>
    <xf numFmtId="37" fontId="1" fillId="2" borderId="13" xfId="0" applyFont="1" applyBorder="1" applyProtection="1"/>
    <xf numFmtId="37" fontId="0" fillId="2" borderId="13" xfId="0" applyBorder="1"/>
    <xf numFmtId="37" fontId="5" fillId="2" borderId="13" xfId="0" applyFont="1" applyBorder="1" applyProtection="1"/>
    <xf numFmtId="37" fontId="1" fillId="2" borderId="0" xfId="0" applyFont="1" applyBorder="1"/>
    <xf numFmtId="37" fontId="0" fillId="2" borderId="0" xfId="0" applyBorder="1"/>
    <xf numFmtId="37" fontId="0" fillId="2" borderId="0" xfId="0" applyBorder="1" applyAlignment="1">
      <alignment horizontal="center"/>
    </xf>
    <xf numFmtId="37" fontId="10" fillId="2" borderId="1" xfId="0" applyNumberFormat="1" applyFont="1" applyBorder="1"/>
    <xf numFmtId="37" fontId="10" fillId="2" borderId="2" xfId="0" applyNumberFormat="1" applyFont="1" applyBorder="1"/>
    <xf numFmtId="37" fontId="10" fillId="2" borderId="0" xfId="0" applyNumberFormat="1" applyFont="1"/>
    <xf numFmtId="37" fontId="10" fillId="2" borderId="4" xfId="0" applyNumberFormat="1" applyFont="1" applyBorder="1"/>
    <xf numFmtId="37" fontId="10" fillId="2" borderId="5" xfId="0" applyNumberFormat="1" applyFont="1" applyBorder="1"/>
    <xf numFmtId="37" fontId="10" fillId="2" borderId="1" xfId="0" applyNumberFormat="1" applyFont="1" applyFill="1" applyBorder="1"/>
    <xf numFmtId="37" fontId="10" fillId="2" borderId="2" xfId="0" applyNumberFormat="1" applyFont="1" applyFill="1" applyBorder="1"/>
    <xf numFmtId="37" fontId="10" fillId="2" borderId="0" xfId="0" quotePrefix="1" applyNumberFormat="1" applyFont="1"/>
    <xf numFmtId="37" fontId="10" fillId="2" borderId="0" xfId="0" applyNumberFormat="1" applyFont="1" applyFill="1"/>
    <xf numFmtId="37" fontId="10" fillId="2" borderId="4" xfId="0" applyNumberFormat="1" applyFont="1" applyFill="1" applyBorder="1"/>
    <xf numFmtId="37" fontId="10" fillId="2" borderId="17" xfId="0" applyNumberFormat="1" applyFont="1" applyFill="1" applyBorder="1"/>
    <xf numFmtId="37" fontId="10" fillId="2" borderId="5" xfId="0" applyNumberFormat="1" applyFont="1" applyFill="1" applyBorder="1"/>
    <xf numFmtId="37" fontId="11" fillId="2" borderId="18" xfId="0" applyNumberFormat="1" applyFont="1" applyFill="1" applyBorder="1"/>
    <xf numFmtId="37" fontId="10" fillId="2" borderId="19" xfId="0" applyNumberFormat="1" applyFont="1" applyFill="1" applyBorder="1"/>
    <xf numFmtId="37" fontId="12" fillId="2" borderId="0" xfId="0" applyNumberFormat="1" applyFont="1" applyFill="1"/>
    <xf numFmtId="37" fontId="12" fillId="2" borderId="0" xfId="0" applyNumberFormat="1" applyFont="1"/>
    <xf numFmtId="37" fontId="12" fillId="2" borderId="0" xfId="0" applyNumberFormat="1" applyFont="1" applyBorder="1"/>
    <xf numFmtId="37" fontId="12" fillId="2" borderId="0" xfId="0" applyNumberFormat="1" applyFont="1" applyFill="1" applyBorder="1"/>
    <xf numFmtId="37" fontId="4" fillId="2" borderId="20" xfId="0" applyFont="1" applyBorder="1" applyProtection="1"/>
    <xf numFmtId="37" fontId="4" fillId="2" borderId="21" xfId="0" applyFont="1" applyBorder="1" applyAlignment="1" applyProtection="1">
      <alignment horizontal="center"/>
    </xf>
    <xf numFmtId="37" fontId="1" fillId="2" borderId="22" xfId="0" applyFont="1" applyBorder="1" applyProtection="1"/>
    <xf numFmtId="37" fontId="5" fillId="2" borderId="23" xfId="0" applyFont="1" applyBorder="1" applyProtection="1"/>
    <xf numFmtId="37" fontId="5" fillId="2" borderId="21" xfId="0" applyFont="1" applyBorder="1" applyProtection="1"/>
    <xf numFmtId="37" fontId="5" fillId="2" borderId="22" xfId="0" applyFont="1" applyBorder="1" applyProtection="1"/>
    <xf numFmtId="37" fontId="5" fillId="2" borderId="24" xfId="0" applyFont="1" applyBorder="1" applyProtection="1"/>
    <xf numFmtId="37" fontId="1" fillId="2" borderId="20" xfId="0" applyFont="1" applyBorder="1" applyProtection="1"/>
    <xf numFmtId="37" fontId="5" fillId="0" borderId="21" xfId="0" applyFont="1" applyFill="1" applyBorder="1" applyProtection="1"/>
    <xf numFmtId="37" fontId="5" fillId="0" borderId="23" xfId="0" applyFont="1" applyFill="1" applyBorder="1" applyProtection="1"/>
    <xf numFmtId="37" fontId="10" fillId="2" borderId="0" xfId="0" applyNumberFormat="1" applyFont="1" applyBorder="1"/>
    <xf numFmtId="37" fontId="8" fillId="2" borderId="24" xfId="0" applyFont="1" applyBorder="1"/>
    <xf numFmtId="37" fontId="10" fillId="2" borderId="12" xfId="0" applyNumberFormat="1" applyFont="1" applyBorder="1"/>
    <xf numFmtId="37" fontId="10" fillId="2" borderId="12" xfId="0" applyNumberFormat="1" applyFont="1" applyBorder="1" applyAlignment="1">
      <alignment horizontal="fill"/>
    </xf>
    <xf numFmtId="37" fontId="10" fillId="2" borderId="13" xfId="0" applyNumberFormat="1" applyFont="1" applyBorder="1" applyAlignment="1">
      <alignment horizontal="fill"/>
    </xf>
    <xf numFmtId="37" fontId="10" fillId="2" borderId="30" xfId="0" applyNumberFormat="1" applyFont="1" applyBorder="1" applyAlignment="1">
      <alignment horizontal="fill"/>
    </xf>
    <xf numFmtId="37" fontId="0" fillId="2" borderId="7" xfId="0" applyFont="1" applyBorder="1" applyProtection="1"/>
    <xf numFmtId="37" fontId="0" fillId="2" borderId="0" xfId="0" applyFont="1"/>
    <xf numFmtId="15" fontId="10" fillId="2" borderId="3" xfId="0" applyNumberFormat="1" applyFont="1" applyBorder="1"/>
    <xf numFmtId="37" fontId="10" fillId="2" borderId="26" xfId="0" applyNumberFormat="1" applyFont="1" applyBorder="1"/>
    <xf numFmtId="37" fontId="10" fillId="2" borderId="26" xfId="0" applyNumberFormat="1" applyFont="1" applyBorder="1" applyAlignment="1">
      <alignment horizontal="center"/>
    </xf>
    <xf numFmtId="37" fontId="10" fillId="2" borderId="27" xfId="0" applyNumberFormat="1" applyFont="1" applyBorder="1"/>
    <xf numFmtId="37" fontId="10" fillId="2" borderId="27" xfId="0" applyNumberFormat="1" applyFont="1" applyBorder="1" applyAlignment="1">
      <alignment horizontal="center"/>
    </xf>
    <xf numFmtId="37" fontId="10" fillId="2" borderId="24" xfId="0" applyNumberFormat="1" applyFont="1" applyBorder="1"/>
    <xf numFmtId="37" fontId="10" fillId="2" borderId="28" xfId="0" applyNumberFormat="1" applyFont="1" applyBorder="1" applyAlignment="1">
      <alignment horizontal="center"/>
    </xf>
    <xf numFmtId="37" fontId="10" fillId="2" borderId="24" xfId="0" applyNumberFormat="1" applyFont="1" applyBorder="1" applyAlignment="1">
      <alignment horizontal="center"/>
    </xf>
    <xf numFmtId="37" fontId="10" fillId="2" borderId="29" xfId="0" applyNumberFormat="1" applyFont="1" applyBorder="1" applyAlignment="1">
      <alignment horizontal="center"/>
    </xf>
    <xf numFmtId="37" fontId="11" fillId="2" borderId="6" xfId="0" applyNumberFormat="1" applyFont="1" applyFill="1" applyBorder="1" applyAlignment="1">
      <alignment horizontal="center"/>
    </xf>
    <xf numFmtId="37" fontId="11" fillId="2" borderId="13" xfId="0" applyNumberFormat="1" applyFont="1" applyFill="1" applyBorder="1"/>
    <xf numFmtId="37" fontId="11" fillId="2" borderId="31" xfId="0" applyNumberFormat="1" applyFont="1" applyFill="1" applyBorder="1"/>
    <xf numFmtId="37" fontId="11" fillId="2" borderId="0" xfId="0" applyNumberFormat="1" applyFont="1" applyFill="1" applyBorder="1"/>
    <xf numFmtId="37" fontId="11" fillId="2" borderId="7" xfId="0" applyNumberFormat="1" applyFont="1" applyFill="1" applyBorder="1"/>
    <xf numFmtId="37" fontId="11" fillId="2" borderId="15" xfId="0" applyNumberFormat="1" applyFont="1" applyFill="1" applyBorder="1"/>
    <xf numFmtId="9" fontId="11" fillId="2" borderId="6" xfId="0" applyNumberFormat="1" applyFont="1" applyFill="1" applyBorder="1" applyAlignment="1">
      <alignment horizontal="center"/>
    </xf>
    <xf numFmtId="37" fontId="11" fillId="0" borderId="6" xfId="0" applyNumberFormat="1" applyFont="1" applyFill="1" applyBorder="1"/>
    <xf numFmtId="37" fontId="11" fillId="0" borderId="7" xfId="0" applyNumberFormat="1" applyFont="1" applyFill="1" applyBorder="1"/>
    <xf numFmtId="164" fontId="11" fillId="2" borderId="6" xfId="0" applyNumberFormat="1" applyFont="1" applyFill="1" applyBorder="1" applyAlignment="1">
      <alignment horizontal="center"/>
    </xf>
    <xf numFmtId="37" fontId="11" fillId="2" borderId="6" xfId="0" quotePrefix="1" applyNumberFormat="1" applyFont="1" applyFill="1" applyBorder="1" applyAlignment="1">
      <alignment horizontal="center"/>
    </xf>
    <xf numFmtId="37" fontId="11" fillId="2" borderId="8" xfId="0" applyNumberFormat="1" applyFont="1" applyFill="1" applyBorder="1"/>
    <xf numFmtId="10" fontId="11" fillId="2" borderId="6" xfId="0" quotePrefix="1" applyNumberFormat="1" applyFont="1" applyFill="1" applyBorder="1" applyAlignment="1">
      <alignment horizontal="center"/>
    </xf>
    <xf numFmtId="9" fontId="11" fillId="2" borderId="7" xfId="0" applyNumberFormat="1" applyFont="1" applyFill="1" applyBorder="1"/>
    <xf numFmtId="37" fontId="11" fillId="2" borderId="10" xfId="0" applyNumberFormat="1" applyFont="1" applyFill="1" applyBorder="1"/>
    <xf numFmtId="37" fontId="11" fillId="2" borderId="16" xfId="0" applyNumberFormat="1" applyFont="1" applyFill="1" applyBorder="1"/>
    <xf numFmtId="37" fontId="11" fillId="2" borderId="4" xfId="0" applyNumberFormat="1" applyFont="1" applyFill="1" applyBorder="1"/>
    <xf numFmtId="37" fontId="11" fillId="2" borderId="0" xfId="0" applyNumberFormat="1" applyFont="1" applyFill="1"/>
    <xf numFmtId="37" fontId="10" fillId="2" borderId="0" xfId="0" applyNumberFormat="1" applyFont="1" applyFill="1" applyBorder="1"/>
    <xf numFmtId="37" fontId="14" fillId="2" borderId="0" xfId="0" applyNumberFormat="1" applyFont="1" applyFill="1" applyBorder="1"/>
    <xf numFmtId="37" fontId="5" fillId="0" borderId="24" xfId="0" applyFont="1" applyFill="1" applyBorder="1" applyProtection="1"/>
    <xf numFmtId="37" fontId="5" fillId="2" borderId="32" xfId="0" applyFont="1" applyBorder="1" applyProtection="1"/>
    <xf numFmtId="37" fontId="5" fillId="0" borderId="22" xfId="0" applyFont="1" applyFill="1" applyBorder="1" applyProtection="1"/>
    <xf numFmtId="37" fontId="13" fillId="0" borderId="23" xfId="0" applyFont="1" applyFill="1" applyBorder="1" applyProtection="1"/>
    <xf numFmtId="37" fontId="8" fillId="2" borderId="28" xfId="0" applyFont="1" applyBorder="1"/>
    <xf numFmtId="37" fontId="5" fillId="0" borderId="0" xfId="0" applyFont="1" applyFill="1" applyBorder="1" applyProtection="1"/>
    <xf numFmtId="37" fontId="11" fillId="2" borderId="7" xfId="0" applyFont="1" applyBorder="1" applyProtection="1">
      <protection locked="0"/>
    </xf>
    <xf numFmtId="3" fontId="2" fillId="3" borderId="33" xfId="1" applyNumberFormat="1" applyFont="1" applyFill="1" applyBorder="1"/>
    <xf numFmtId="37" fontId="11" fillId="0" borderId="31" xfId="0" applyNumberFormat="1" applyFont="1" applyFill="1" applyBorder="1"/>
    <xf numFmtId="37" fontId="5" fillId="2" borderId="33" xfId="0" applyFont="1" applyBorder="1" applyProtection="1"/>
    <xf numFmtId="37" fontId="11" fillId="5" borderId="31" xfId="0" applyNumberFormat="1" applyFont="1" applyFill="1" applyBorder="1"/>
    <xf numFmtId="37" fontId="5" fillId="5" borderId="23" xfId="0" applyFont="1" applyFill="1" applyBorder="1" applyProtection="1"/>
    <xf numFmtId="37" fontId="4" fillId="2" borderId="20" xfId="0" applyFont="1" applyBorder="1" applyAlignment="1" applyProtection="1">
      <alignment horizontal="center"/>
    </xf>
    <xf numFmtId="37" fontId="0" fillId="2" borderId="21" xfId="0" applyNumberFormat="1" applyBorder="1"/>
    <xf numFmtId="37" fontId="0" fillId="2" borderId="24" xfId="0" applyNumberFormat="1" applyBorder="1"/>
    <xf numFmtId="37" fontId="4" fillId="2" borderId="21" xfId="0" applyFont="1" applyBorder="1" applyProtection="1"/>
    <xf numFmtId="37" fontId="5" fillId="2" borderId="7" xfId="0" applyFont="1" applyBorder="1" applyAlignment="1" applyProtection="1">
      <alignment horizontal="right"/>
    </xf>
    <xf numFmtId="37" fontId="5" fillId="2" borderId="30" xfId="0" applyFont="1" applyBorder="1" applyProtection="1"/>
    <xf numFmtId="37" fontId="0" fillId="2" borderId="0" xfId="0" applyBorder="1" applyProtection="1"/>
    <xf numFmtId="37" fontId="0" fillId="2" borderId="4" xfId="0" applyBorder="1" applyProtection="1"/>
    <xf numFmtId="37" fontId="5" fillId="2" borderId="4" xfId="0" applyFont="1" applyBorder="1" applyAlignment="1" applyProtection="1">
      <alignment horizontal="center"/>
    </xf>
    <xf numFmtId="9" fontId="5" fillId="2" borderId="12" xfId="0" applyNumberFormat="1" applyFont="1" applyBorder="1" applyAlignment="1" applyProtection="1">
      <alignment horizontal="center"/>
    </xf>
    <xf numFmtId="37" fontId="4" fillId="2" borderId="24" xfId="0" applyFont="1" applyBorder="1" applyAlignment="1" applyProtection="1">
      <alignment horizontal="center"/>
    </xf>
    <xf numFmtId="37" fontId="0" fillId="2" borderId="34" xfId="0" applyNumberFormat="1" applyBorder="1"/>
    <xf numFmtId="37" fontId="0" fillId="2" borderId="20" xfId="0" applyNumberFormat="1" applyBorder="1"/>
    <xf numFmtId="37" fontId="11" fillId="2" borderId="35" xfId="0" applyNumberFormat="1" applyFont="1" applyFill="1" applyBorder="1"/>
    <xf numFmtId="37" fontId="10" fillId="2" borderId="12" xfId="0" applyNumberFormat="1" applyFont="1" applyFill="1" applyBorder="1"/>
    <xf numFmtId="37" fontId="11" fillId="2" borderId="30" xfId="0" applyNumberFormat="1" applyFont="1" applyFill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NumberFormat="1" applyFont="1" applyFill="1"/>
    <xf numFmtId="37" fontId="0" fillId="0" borderId="34" xfId="0" applyNumberFormat="1" applyFill="1" applyBorder="1"/>
    <xf numFmtId="37" fontId="0" fillId="0" borderId="24" xfId="0" applyNumberFormat="1" applyFill="1" applyBorder="1"/>
    <xf numFmtId="37" fontId="1" fillId="2" borderId="1" xfId="0" applyFont="1" applyBorder="1" applyAlignment="1" applyProtection="1">
      <alignment horizontal="right"/>
    </xf>
    <xf numFmtId="37" fontId="10" fillId="0" borderId="28" xfId="0" applyNumberFormat="1" applyFont="1" applyFill="1" applyBorder="1" applyAlignment="1">
      <alignment horizontal="center"/>
    </xf>
    <xf numFmtId="37" fontId="10" fillId="0" borderId="24" xfId="0" applyNumberFormat="1" applyFont="1" applyFill="1" applyBorder="1" applyAlignment="1">
      <alignment horizontal="center"/>
    </xf>
    <xf numFmtId="37" fontId="10" fillId="0" borderId="26" xfId="0" applyNumberFormat="1" applyFont="1" applyFill="1" applyBorder="1" applyAlignment="1">
      <alignment horizontal="center"/>
    </xf>
    <xf numFmtId="37" fontId="0" fillId="0" borderId="0" xfId="0" applyNumberFormat="1" applyFill="1"/>
    <xf numFmtId="37" fontId="10" fillId="2" borderId="1" xfId="0" applyNumberFormat="1" applyFont="1" applyBorder="1" applyProtection="1"/>
    <xf numFmtId="37" fontId="10" fillId="2" borderId="2" xfId="0" applyNumberFormat="1" applyFont="1" applyBorder="1" applyProtection="1"/>
    <xf numFmtId="15" fontId="10" fillId="2" borderId="3" xfId="0" applyNumberFormat="1" applyFont="1" applyBorder="1" applyProtection="1"/>
    <xf numFmtId="37" fontId="10" fillId="2" borderId="0" xfId="0" applyNumberFormat="1" applyFont="1" applyProtection="1"/>
    <xf numFmtId="37" fontId="10" fillId="2" borderId="4" xfId="0" applyNumberFormat="1" applyFont="1" applyBorder="1" applyProtection="1"/>
    <xf numFmtId="37" fontId="10" fillId="2" borderId="5" xfId="0" applyNumberFormat="1" applyFont="1" applyBorder="1" applyProtection="1"/>
    <xf numFmtId="37" fontId="10" fillId="2" borderId="12" xfId="0" applyNumberFormat="1" applyFont="1" applyBorder="1" applyAlignment="1" applyProtection="1">
      <alignment horizontal="fill"/>
    </xf>
    <xf numFmtId="37" fontId="10" fillId="2" borderId="13" xfId="0" applyNumberFormat="1" applyFont="1" applyBorder="1" applyAlignment="1" applyProtection="1">
      <alignment horizontal="fill"/>
    </xf>
    <xf numFmtId="37" fontId="10" fillId="2" borderId="30" xfId="0" applyNumberFormat="1" applyFont="1" applyBorder="1" applyAlignment="1" applyProtection="1">
      <alignment horizontal="fill"/>
    </xf>
    <xf numFmtId="37" fontId="10" fillId="2" borderId="26" xfId="0" applyNumberFormat="1" applyFont="1" applyBorder="1" applyProtection="1"/>
    <xf numFmtId="37" fontId="10" fillId="2" borderId="26" xfId="0" applyNumberFormat="1" applyFont="1" applyBorder="1" applyAlignment="1" applyProtection="1">
      <alignment horizontal="center"/>
    </xf>
    <xf numFmtId="37" fontId="10" fillId="2" borderId="27" xfId="0" applyNumberFormat="1" applyFont="1" applyBorder="1" applyProtection="1"/>
    <xf numFmtId="37" fontId="10" fillId="2" borderId="27" xfId="0" applyNumberFormat="1" applyFont="1" applyBorder="1" applyAlignment="1" applyProtection="1">
      <alignment horizontal="center"/>
    </xf>
    <xf numFmtId="37" fontId="10" fillId="2" borderId="12" xfId="0" applyNumberFormat="1" applyFont="1" applyBorder="1" applyProtection="1"/>
    <xf numFmtId="37" fontId="10" fillId="2" borderId="24" xfId="0" applyNumberFormat="1" applyFont="1" applyBorder="1" applyProtection="1"/>
    <xf numFmtId="37" fontId="10" fillId="2" borderId="28" xfId="0" applyNumberFormat="1" applyFont="1" applyBorder="1" applyAlignment="1" applyProtection="1">
      <alignment horizontal="center"/>
    </xf>
    <xf numFmtId="37" fontId="10" fillId="2" borderId="24" xfId="0" applyNumberFormat="1" applyFont="1" applyBorder="1" applyAlignment="1" applyProtection="1">
      <alignment horizontal="center"/>
    </xf>
    <xf numFmtId="37" fontId="10" fillId="2" borderId="29" xfId="0" applyNumberFormat="1" applyFont="1" applyBorder="1" applyAlignment="1" applyProtection="1">
      <alignment horizontal="center"/>
    </xf>
    <xf numFmtId="37" fontId="11" fillId="2" borderId="6" xfId="0" applyNumberFormat="1" applyFont="1" applyFill="1" applyBorder="1" applyAlignment="1" applyProtection="1">
      <alignment horizontal="center"/>
    </xf>
    <xf numFmtId="37" fontId="11" fillId="2" borderId="13" xfId="0" applyNumberFormat="1" applyFont="1" applyFill="1" applyBorder="1" applyProtection="1"/>
    <xf numFmtId="37" fontId="11" fillId="2" borderId="31" xfId="0" applyNumberFormat="1" applyFont="1" applyFill="1" applyBorder="1" applyProtection="1"/>
    <xf numFmtId="37" fontId="11" fillId="2" borderId="15" xfId="0" applyNumberFormat="1" applyFont="1" applyFill="1" applyBorder="1" applyProtection="1"/>
    <xf numFmtId="9" fontId="11" fillId="0" borderId="6" xfId="0" applyNumberFormat="1" applyFont="1" applyFill="1" applyBorder="1" applyAlignment="1" applyProtection="1">
      <alignment horizontal="center"/>
    </xf>
    <xf numFmtId="37" fontId="11" fillId="0" borderId="7" xfId="0" applyNumberFormat="1" applyFont="1" applyFill="1" applyBorder="1" applyProtection="1"/>
    <xf numFmtId="37" fontId="11" fillId="0" borderId="31" xfId="0" applyNumberFormat="1" applyFont="1" applyFill="1" applyBorder="1" applyProtection="1"/>
    <xf numFmtId="37" fontId="11" fillId="0" borderId="15" xfId="0" applyNumberFormat="1" applyFont="1" applyFill="1" applyBorder="1" applyProtection="1"/>
    <xf numFmtId="37" fontId="10" fillId="0" borderId="0" xfId="0" applyNumberFormat="1" applyFont="1" applyFill="1" applyProtection="1"/>
    <xf numFmtId="37" fontId="11" fillId="2" borderId="7" xfId="0" applyNumberFormat="1" applyFont="1" applyFill="1" applyBorder="1" applyProtection="1"/>
    <xf numFmtId="37" fontId="11" fillId="4" borderId="31" xfId="0" applyNumberFormat="1" applyFont="1" applyFill="1" applyBorder="1" applyProtection="1"/>
    <xf numFmtId="37" fontId="11" fillId="2" borderId="25" xfId="0" applyNumberFormat="1" applyFont="1" applyFill="1" applyBorder="1" applyProtection="1"/>
    <xf numFmtId="37" fontId="10" fillId="2" borderId="0" xfId="0" applyNumberFormat="1" applyFont="1" applyBorder="1" applyProtection="1"/>
    <xf numFmtId="9" fontId="11" fillId="2" borderId="6" xfId="0" applyNumberFormat="1" applyFont="1" applyFill="1" applyBorder="1" applyAlignment="1" applyProtection="1">
      <alignment horizontal="center"/>
    </xf>
    <xf numFmtId="164" fontId="11" fillId="2" borderId="6" xfId="0" applyNumberFormat="1" applyFont="1" applyFill="1" applyBorder="1" applyAlignment="1" applyProtection="1">
      <alignment horizontal="center"/>
    </xf>
    <xf numFmtId="37" fontId="11" fillId="2" borderId="6" xfId="0" quotePrefix="1" applyNumberFormat="1" applyFont="1" applyFill="1" applyBorder="1" applyAlignment="1" applyProtection="1">
      <alignment horizontal="center"/>
    </xf>
    <xf numFmtId="37" fontId="11" fillId="2" borderId="8" xfId="0" applyNumberFormat="1" applyFont="1" applyFill="1" applyBorder="1" applyProtection="1"/>
    <xf numFmtId="37" fontId="11" fillId="2" borderId="7" xfId="0" applyFont="1" applyBorder="1" applyProtection="1"/>
    <xf numFmtId="3" fontId="2" fillId="3" borderId="33" xfId="1" applyNumberFormat="1" applyFont="1" applyFill="1" applyBorder="1" applyProtection="1"/>
    <xf numFmtId="37" fontId="10" fillId="2" borderId="0" xfId="0" quotePrefix="1" applyNumberFormat="1" applyFont="1" applyProtection="1"/>
    <xf numFmtId="10" fontId="11" fillId="2" borderId="6" xfId="0" quotePrefix="1" applyNumberFormat="1" applyFont="1" applyFill="1" applyBorder="1" applyAlignment="1" applyProtection="1">
      <alignment horizontal="center"/>
    </xf>
    <xf numFmtId="9" fontId="11" fillId="2" borderId="7" xfId="0" applyNumberFormat="1" applyFont="1" applyFill="1" applyBorder="1" applyProtection="1"/>
    <xf numFmtId="37" fontId="10" fillId="2" borderId="0" xfId="0" applyNumberFormat="1" applyFont="1" applyFill="1" applyProtection="1"/>
    <xf numFmtId="37" fontId="11" fillId="0" borderId="6" xfId="0" applyNumberFormat="1" applyFont="1" applyFill="1" applyBorder="1" applyProtection="1"/>
    <xf numFmtId="37" fontId="10" fillId="2" borderId="1" xfId="0" applyNumberFormat="1" applyFont="1" applyFill="1" applyBorder="1" applyProtection="1"/>
    <xf numFmtId="37" fontId="10" fillId="2" borderId="2" xfId="0" applyNumberFormat="1" applyFont="1" applyFill="1" applyBorder="1" applyProtection="1"/>
    <xf numFmtId="37" fontId="10" fillId="0" borderId="2" xfId="0" applyNumberFormat="1" applyFont="1" applyFill="1" applyBorder="1" applyProtection="1"/>
    <xf numFmtId="37" fontId="10" fillId="2" borderId="3" xfId="0" applyNumberFormat="1" applyFont="1" applyFill="1" applyBorder="1" applyProtection="1"/>
    <xf numFmtId="37" fontId="10" fillId="2" borderId="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1" fillId="2" borderId="16" xfId="0" applyNumberFormat="1" applyFont="1" applyFill="1" applyBorder="1" applyProtection="1"/>
    <xf numFmtId="37" fontId="11" fillId="2" borderId="11" xfId="0" applyNumberFormat="1" applyFont="1" applyFill="1" applyBorder="1" applyProtection="1"/>
    <xf numFmtId="37" fontId="10" fillId="2" borderId="17" xfId="0" applyNumberFormat="1" applyFont="1" applyFill="1" applyBorder="1" applyProtection="1"/>
    <xf numFmtId="37" fontId="10" fillId="2" borderId="5" xfId="0" applyNumberFormat="1" applyFont="1" applyFill="1" applyBorder="1" applyProtection="1"/>
    <xf numFmtId="37" fontId="11" fillId="2" borderId="4" xfId="0" applyNumberFormat="1" applyFont="1" applyFill="1" applyBorder="1" applyProtection="1"/>
    <xf numFmtId="37" fontId="11" fillId="2" borderId="0" xfId="0" applyNumberFormat="1" applyFont="1" applyFill="1" applyProtection="1"/>
    <xf numFmtId="37" fontId="11" fillId="4" borderId="4" xfId="0" applyNumberFormat="1" applyFont="1" applyFill="1" applyBorder="1" applyProtection="1"/>
    <xf numFmtId="37" fontId="11" fillId="4" borderId="0" xfId="0" applyNumberFormat="1" applyFont="1" applyFill="1" applyProtection="1"/>
    <xf numFmtId="37" fontId="11" fillId="2" borderId="0" xfId="0" applyNumberFormat="1" applyFont="1" applyFill="1" applyBorder="1" applyProtection="1"/>
    <xf numFmtId="37" fontId="10" fillId="2" borderId="0" xfId="0" applyNumberFormat="1" applyFont="1" applyFill="1" applyBorder="1" applyProtection="1"/>
    <xf numFmtId="37" fontId="11" fillId="2" borderId="18" xfId="0" applyNumberFormat="1" applyFont="1" applyFill="1" applyBorder="1" applyProtection="1"/>
    <xf numFmtId="37" fontId="10" fillId="2" borderId="19" xfId="0" applyNumberFormat="1" applyFont="1" applyFill="1" applyBorder="1" applyProtection="1"/>
    <xf numFmtId="37" fontId="12" fillId="2" borderId="0" xfId="0" applyNumberFormat="1" applyFont="1" applyFill="1" applyProtection="1"/>
    <xf numFmtId="37" fontId="12" fillId="2" borderId="0" xfId="0" applyNumberFormat="1" applyFont="1" applyProtection="1"/>
    <xf numFmtId="37" fontId="12" fillId="2" borderId="0" xfId="0" applyNumberFormat="1" applyFont="1" applyBorder="1" applyProtection="1"/>
    <xf numFmtId="37" fontId="12" fillId="2" borderId="0" xfId="0" applyNumberFormat="1" applyFont="1" applyFill="1" applyBorder="1" applyProtection="1"/>
    <xf numFmtId="37" fontId="14" fillId="2" borderId="0" xfId="0" applyNumberFormat="1" applyFont="1" applyFill="1" applyBorder="1" applyProtection="1"/>
    <xf numFmtId="37" fontId="11" fillId="0" borderId="15" xfId="0" applyNumberFormat="1" applyFont="1" applyFill="1" applyBorder="1"/>
    <xf numFmtId="37" fontId="10" fillId="2" borderId="13" xfId="0" applyNumberFormat="1" applyFont="1" applyBorder="1"/>
    <xf numFmtId="37" fontId="18" fillId="2" borderId="35" xfId="0" applyNumberFormat="1" applyFont="1" applyFill="1" applyBorder="1"/>
    <xf numFmtId="44" fontId="11" fillId="2" borderId="6" xfId="0" applyNumberFormat="1" applyFont="1" applyFill="1" applyBorder="1" applyAlignment="1">
      <alignment horizontal="left"/>
    </xf>
    <xf numFmtId="37" fontId="10" fillId="0" borderId="21" xfId="0" applyNumberFormat="1" applyFont="1" applyFill="1" applyBorder="1" applyAlignment="1">
      <alignment horizontal="center"/>
    </xf>
    <xf numFmtId="37" fontId="5" fillId="0" borderId="7" xfId="0" applyFont="1" applyFill="1" applyBorder="1" applyProtection="1"/>
    <xf numFmtId="37" fontId="11" fillId="0" borderId="35" xfId="0" applyNumberFormat="1" applyFont="1" applyFill="1" applyBorder="1"/>
    <xf numFmtId="37" fontId="0" fillId="0" borderId="0" xfId="0" applyFill="1"/>
    <xf numFmtId="37" fontId="0" fillId="0" borderId="0" xfId="0" applyNumberFormat="1" applyFill="1" applyBorder="1"/>
    <xf numFmtId="37" fontId="10" fillId="0" borderId="26" xfId="0" applyNumberFormat="1" applyFont="1" applyFill="1" applyBorder="1" applyAlignment="1">
      <alignment horizontal="fill"/>
    </xf>
    <xf numFmtId="37" fontId="10" fillId="0" borderId="0" xfId="0" applyNumberFormat="1" applyFont="1" applyFill="1" applyBorder="1" applyAlignment="1">
      <alignment horizontal="fill"/>
    </xf>
    <xf numFmtId="37" fontId="11" fillId="0" borderId="6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37" fontId="11" fillId="0" borderId="6" xfId="0" quotePrefix="1" applyNumberFormat="1" applyFont="1" applyFill="1" applyBorder="1" applyAlignment="1">
      <alignment horizontal="center"/>
    </xf>
    <xf numFmtId="44" fontId="11" fillId="0" borderId="6" xfId="0" applyNumberFormat="1" applyFont="1" applyFill="1" applyBorder="1" applyAlignment="1">
      <alignment horizontal="left"/>
    </xf>
    <xf numFmtId="44" fontId="11" fillId="0" borderId="6" xfId="0" applyNumberFormat="1" applyFont="1" applyFill="1" applyBorder="1" applyAlignment="1">
      <alignment horizontal="center"/>
    </xf>
    <xf numFmtId="10" fontId="11" fillId="0" borderId="6" xfId="0" quotePrefix="1" applyNumberFormat="1" applyFont="1" applyFill="1" applyBorder="1" applyAlignment="1">
      <alignment horizontal="center"/>
    </xf>
    <xf numFmtId="9" fontId="11" fillId="0" borderId="7" xfId="0" applyNumberFormat="1" applyFont="1" applyFill="1" applyBorder="1"/>
    <xf numFmtId="37" fontId="10" fillId="0" borderId="1" xfId="0" applyNumberFormat="1" applyFont="1" applyFill="1" applyBorder="1"/>
    <xf numFmtId="37" fontId="10" fillId="0" borderId="2" xfId="0" applyNumberFormat="1" applyFont="1" applyFill="1" applyBorder="1"/>
    <xf numFmtId="37" fontId="0" fillId="0" borderId="20" xfId="0" applyNumberFormat="1" applyFill="1" applyBorder="1"/>
    <xf numFmtId="37" fontId="10" fillId="0" borderId="12" xfId="0" applyNumberFormat="1" applyFont="1" applyFill="1" applyBorder="1"/>
    <xf numFmtId="37" fontId="11" fillId="0" borderId="30" xfId="0" applyNumberFormat="1" applyFont="1" applyFill="1" applyBorder="1"/>
    <xf numFmtId="37" fontId="0" fillId="0" borderId="13" xfId="0" applyNumberFormat="1" applyFill="1" applyBorder="1"/>
    <xf numFmtId="37" fontId="0" fillId="0" borderId="38" xfId="0" applyNumberFormat="1" applyFill="1" applyBorder="1"/>
    <xf numFmtId="37" fontId="1" fillId="0" borderId="2" xfId="0" applyFont="1" applyFill="1" applyBorder="1" applyProtection="1"/>
    <xf numFmtId="37" fontId="2" fillId="0" borderId="2" xfId="0" applyFont="1" applyFill="1" applyBorder="1" applyAlignment="1" applyProtection="1">
      <alignment horizontal="right"/>
    </xf>
    <xf numFmtId="37" fontId="2" fillId="0" borderId="2" xfId="0" applyFont="1" applyFill="1" applyBorder="1" applyProtection="1"/>
    <xf numFmtId="37" fontId="0" fillId="0" borderId="39" xfId="0" applyNumberFormat="1" applyFill="1" applyBorder="1"/>
    <xf numFmtId="37" fontId="20" fillId="0" borderId="4" xfId="0" applyFont="1" applyFill="1" applyBorder="1" applyProtection="1"/>
    <xf numFmtId="37" fontId="1" fillId="0" borderId="0" xfId="0" applyFont="1" applyFill="1" applyProtection="1"/>
    <xf numFmtId="37" fontId="20" fillId="0" borderId="0" xfId="0" applyFont="1" applyFill="1" applyAlignment="1" applyProtection="1">
      <alignment horizontal="left"/>
    </xf>
    <xf numFmtId="37" fontId="2" fillId="0" borderId="4" xfId="0" applyFont="1" applyFill="1" applyBorder="1" applyProtection="1"/>
    <xf numFmtId="37" fontId="2" fillId="0" borderId="0" xfId="0" applyFont="1" applyFill="1" applyProtection="1"/>
    <xf numFmtId="37" fontId="0" fillId="0" borderId="30" xfId="0" applyNumberFormat="1" applyFill="1" applyBorder="1"/>
    <xf numFmtId="37" fontId="4" fillId="0" borderId="1" xfId="0" applyFont="1" applyFill="1" applyBorder="1" applyProtection="1"/>
    <xf numFmtId="37" fontId="4" fillId="0" borderId="2" xfId="0" applyFont="1" applyFill="1" applyBorder="1" applyProtection="1"/>
    <xf numFmtId="37" fontId="4" fillId="0" borderId="20" xfId="0" applyFont="1" applyFill="1" applyBorder="1" applyProtection="1"/>
    <xf numFmtId="37" fontId="4" fillId="0" borderId="4" xfId="0" applyFont="1" applyFill="1" applyBorder="1" applyProtection="1"/>
    <xf numFmtId="37" fontId="4" fillId="0" borderId="0" xfId="0" applyFont="1" applyFill="1" applyProtection="1"/>
    <xf numFmtId="37" fontId="4" fillId="0" borderId="21" xfId="0" applyFont="1" applyFill="1" applyBorder="1" applyAlignment="1" applyProtection="1">
      <alignment horizontal="center"/>
    </xf>
    <xf numFmtId="37" fontId="4" fillId="0" borderId="21" xfId="0" applyFont="1" applyFill="1" applyBorder="1" applyProtection="1"/>
    <xf numFmtId="37" fontId="7" fillId="0" borderId="4" xfId="0" applyFont="1" applyFill="1" applyBorder="1" applyAlignment="1" applyProtection="1">
      <alignment horizontal="center"/>
    </xf>
    <xf numFmtId="37" fontId="15" fillId="0" borderId="7" xfId="0" applyFont="1" applyFill="1" applyBorder="1" applyProtection="1"/>
    <xf numFmtId="37" fontId="4" fillId="0" borderId="24" xfId="0" applyFont="1" applyFill="1" applyBorder="1" applyAlignment="1" applyProtection="1">
      <alignment horizontal="center"/>
    </xf>
    <xf numFmtId="37" fontId="1" fillId="0" borderId="1" xfId="0" applyFont="1" applyFill="1" applyBorder="1" applyProtection="1"/>
    <xf numFmtId="37" fontId="0" fillId="0" borderId="21" xfId="0" applyNumberFormat="1" applyFill="1" applyBorder="1"/>
    <xf numFmtId="37" fontId="5" fillId="0" borderId="4" xfId="0" applyFont="1" applyFill="1" applyBorder="1" applyAlignment="1" applyProtection="1">
      <alignment horizontal="center"/>
    </xf>
    <xf numFmtId="37" fontId="5" fillId="0" borderId="0" xfId="0" applyFont="1" applyFill="1" applyProtection="1"/>
    <xf numFmtId="9" fontId="5" fillId="0" borderId="6" xfId="0" applyNumberFormat="1" applyFont="1" applyFill="1" applyBorder="1" applyAlignment="1" applyProtection="1">
      <alignment horizontal="center"/>
    </xf>
    <xf numFmtId="37" fontId="9" fillId="0" borderId="13" xfId="0" applyFont="1" applyFill="1" applyBorder="1" applyProtection="1"/>
    <xf numFmtId="37" fontId="5" fillId="0" borderId="13" xfId="0" applyFont="1" applyFill="1" applyBorder="1" applyProtection="1"/>
    <xf numFmtId="37" fontId="5" fillId="0" borderId="7" xfId="0" applyFont="1" applyFill="1" applyBorder="1" applyAlignment="1" applyProtection="1">
      <alignment horizontal="right"/>
    </xf>
    <xf numFmtId="37" fontId="5" fillId="0" borderId="30" xfId="0" applyFont="1" applyFill="1" applyBorder="1" applyProtection="1"/>
    <xf numFmtId="37" fontId="5" fillId="0" borderId="4" xfId="0" applyFont="1" applyFill="1" applyBorder="1" applyProtection="1"/>
    <xf numFmtId="37" fontId="5" fillId="0" borderId="12" xfId="0" applyFont="1" applyFill="1" applyBorder="1" applyProtection="1"/>
    <xf numFmtId="37" fontId="1" fillId="0" borderId="0" xfId="0" applyFont="1" applyFill="1" applyBorder="1" applyProtection="1"/>
    <xf numFmtId="37" fontId="2" fillId="0" borderId="0" xfId="0" applyFont="1" applyFill="1" applyBorder="1" applyProtection="1"/>
    <xf numFmtId="37" fontId="7" fillId="0" borderId="0" xfId="0" applyFont="1" applyFill="1" applyAlignment="1" applyProtection="1">
      <alignment horizontal="right"/>
    </xf>
    <xf numFmtId="37" fontId="8" fillId="0" borderId="0" xfId="0" applyFont="1" applyFill="1" applyBorder="1" applyProtection="1"/>
    <xf numFmtId="37" fontId="0" fillId="0" borderId="0" xfId="0" applyFill="1" applyBorder="1" applyProtection="1"/>
    <xf numFmtId="37" fontId="12" fillId="0" borderId="0" xfId="0" applyNumberFormat="1" applyFont="1" applyFill="1" applyAlignment="1">
      <alignment horizontal="left"/>
    </xf>
    <xf numFmtId="37" fontId="0" fillId="6" borderId="0" xfId="0" applyNumberFormat="1" applyFill="1" applyAlignment="1">
      <alignment horizontal="left"/>
    </xf>
    <xf numFmtId="37" fontId="5" fillId="0" borderId="6" xfId="0" applyFont="1" applyFill="1" applyBorder="1" applyAlignment="1" applyProtection="1">
      <alignment horizontal="center"/>
    </xf>
    <xf numFmtId="9" fontId="5" fillId="0" borderId="12" xfId="0" applyNumberFormat="1" applyFont="1" applyFill="1" applyBorder="1" applyAlignment="1" applyProtection="1">
      <alignment horizontal="center"/>
    </xf>
    <xf numFmtId="37" fontId="0" fillId="0" borderId="34" xfId="0" applyNumberFormat="1" applyFill="1" applyBorder="1" applyAlignment="1">
      <alignment horizontal="right"/>
    </xf>
    <xf numFmtId="37" fontId="10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left"/>
    </xf>
    <xf numFmtId="37" fontId="0" fillId="0" borderId="0" xfId="0" applyNumberFormat="1" applyFill="1" applyAlignment="1">
      <alignment horizontal="left"/>
    </xf>
    <xf numFmtId="37" fontId="10" fillId="0" borderId="1" xfId="0" applyNumberFormat="1" applyFont="1" applyFill="1" applyBorder="1" applyAlignment="1">
      <alignment horizontal="center"/>
    </xf>
    <xf numFmtId="37" fontId="10" fillId="0" borderId="2" xfId="0" applyNumberFormat="1" applyFont="1" applyFill="1" applyBorder="1" applyAlignment="1">
      <alignment horizontal="center"/>
    </xf>
    <xf numFmtId="37" fontId="10" fillId="0" borderId="0" xfId="0" applyNumberFormat="1" applyFont="1" applyFill="1" applyBorder="1" applyAlignment="1">
      <alignment horizontal="center"/>
    </xf>
    <xf numFmtId="37" fontId="10" fillId="0" borderId="4" xfId="0" applyNumberFormat="1" applyFont="1" applyFill="1" applyBorder="1" applyAlignment="1">
      <alignment horizontal="center"/>
    </xf>
    <xf numFmtId="37" fontId="19" fillId="0" borderId="37" xfId="0" applyNumberFormat="1" applyFont="1" applyFill="1" applyBorder="1" applyAlignment="1">
      <alignment horizontal="center" vertical="center" wrapText="1"/>
    </xf>
    <xf numFmtId="37" fontId="19" fillId="0" borderId="36" xfId="0" applyNumberFormat="1" applyFont="1" applyFill="1" applyBorder="1" applyAlignment="1">
      <alignment horizontal="center" vertical="center" wrapText="1"/>
    </xf>
    <xf numFmtId="37" fontId="11" fillId="0" borderId="21" xfId="0" applyNumberFormat="1" applyFont="1" applyFill="1" applyBorder="1" applyAlignment="1">
      <alignment horizontal="center" vertical="center"/>
    </xf>
    <xf numFmtId="37" fontId="11" fillId="0" borderId="24" xfId="0" applyNumberFormat="1" applyFont="1" applyFill="1" applyBorder="1" applyAlignment="1">
      <alignment horizontal="center" vertical="center"/>
    </xf>
    <xf numFmtId="37" fontId="0" fillId="0" borderId="40" xfId="0" applyNumberFormat="1" applyFill="1" applyBorder="1"/>
    <xf numFmtId="37" fontId="0" fillId="0" borderId="40" xfId="0" applyNumberFormat="1" applyFill="1" applyBorder="1" applyAlignment="1">
      <alignment horizontal="right"/>
    </xf>
    <xf numFmtId="37" fontId="0" fillId="5" borderId="40" xfId="0" applyNumberFormat="1" applyFill="1" applyBorder="1"/>
    <xf numFmtId="37" fontId="0" fillId="0" borderId="41" xfId="0" applyNumberFormat="1" applyFill="1" applyBorder="1"/>
    <xf numFmtId="37" fontId="0" fillId="0" borderId="28" xfId="0" applyNumberFormat="1" applyFill="1" applyBorder="1"/>
    <xf numFmtId="37" fontId="10" fillId="0" borderId="0" xfId="0" applyNumberFormat="1" applyFont="1" applyFill="1" applyBorder="1"/>
  </cellXfs>
  <cellStyles count="6">
    <cellStyle name="Comma 2" xfId="3"/>
    <cellStyle name="Normal" xfId="0" builtinId="0"/>
    <cellStyle name="Normal 2" xfId="1"/>
    <cellStyle name="Normal 2 2" xfId="5"/>
    <cellStyle name="Normal 3" xfId="2"/>
    <cellStyle name="Percent 2" xfId="4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640625" defaultRowHeight="15"/>
  <cols>
    <col min="1" max="1" width="4.6640625" style="25" customWidth="1"/>
    <col min="2" max="2" width="1.6640625" style="25" customWidth="1"/>
    <col min="3" max="3" width="15.77734375" style="25" customWidth="1"/>
    <col min="4" max="4" width="2.6640625" style="25" hidden="1" customWidth="1"/>
    <col min="5" max="5" width="11" style="25" customWidth="1"/>
    <col min="6" max="6" width="1.6640625" style="25" customWidth="1"/>
    <col min="7" max="7" width="13.109375" style="25" customWidth="1"/>
    <col min="8" max="8" width="10.44140625" style="25" customWidth="1"/>
    <col min="9" max="9" width="13.77734375" style="85" customWidth="1"/>
    <col min="10" max="10" width="11.21875" style="25" customWidth="1"/>
    <col min="11" max="11" width="19.21875" style="25" customWidth="1"/>
    <col min="12" max="12" width="1.6640625" style="25" customWidth="1"/>
    <col min="13" max="13" width="8.6640625" style="25" customWidth="1"/>
    <col min="14" max="16384" width="15.6640625" style="25"/>
  </cols>
  <sheetData>
    <row r="1" spans="1:37" s="4" customFormat="1">
      <c r="A1" s="1" t="s">
        <v>82</v>
      </c>
      <c r="B1" s="2"/>
      <c r="C1" s="2"/>
      <c r="D1" s="2"/>
      <c r="E1" s="2" t="s">
        <v>83</v>
      </c>
      <c r="F1" s="2"/>
      <c r="G1" s="2"/>
      <c r="H1" s="2"/>
      <c r="I1" s="2"/>
      <c r="J1" s="2"/>
      <c r="K1" s="3">
        <f ca="1">NOW()</f>
        <v>43494.548466203705</v>
      </c>
    </row>
    <row r="2" spans="1:37" s="4" customFormat="1">
      <c r="A2" s="5" t="s">
        <v>84</v>
      </c>
      <c r="B2" s="6"/>
      <c r="C2" s="6"/>
      <c r="D2" s="6"/>
      <c r="E2" s="6" t="s">
        <v>108</v>
      </c>
      <c r="F2" s="6"/>
      <c r="G2" s="6"/>
      <c r="H2" s="6"/>
      <c r="I2" s="6"/>
      <c r="J2" s="6"/>
      <c r="K2" s="7"/>
    </row>
    <row r="3" spans="1:37" s="4" customFormat="1">
      <c r="A3" s="5" t="s">
        <v>85</v>
      </c>
      <c r="B3" s="6"/>
      <c r="C3" s="6"/>
      <c r="D3" s="6"/>
      <c r="E3" s="6" t="s">
        <v>109</v>
      </c>
      <c r="F3" s="6"/>
      <c r="G3" s="6"/>
      <c r="H3" s="6"/>
      <c r="I3" s="6"/>
      <c r="J3" s="6"/>
      <c r="K3" s="7"/>
    </row>
    <row r="4" spans="1:37" s="4" customFormat="1">
      <c r="A4" s="8"/>
      <c r="B4" s="9"/>
      <c r="C4" s="9"/>
      <c r="D4" s="9"/>
      <c r="E4" s="9"/>
      <c r="F4" s="9"/>
      <c r="G4" s="68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69" t="s">
        <v>86</v>
      </c>
      <c r="H5" s="13" t="s">
        <v>87</v>
      </c>
      <c r="I5" s="13" t="s">
        <v>88</v>
      </c>
      <c r="J5" s="13" t="s">
        <v>89</v>
      </c>
      <c r="K5" s="14"/>
    </row>
    <row r="6" spans="1:37" s="4" customFormat="1">
      <c r="A6" s="11"/>
      <c r="B6" s="12"/>
      <c r="C6" s="12"/>
      <c r="D6" s="12"/>
      <c r="G6" s="69" t="s">
        <v>72</v>
      </c>
      <c r="H6" s="13" t="s">
        <v>72</v>
      </c>
      <c r="I6" s="13" t="s">
        <v>72</v>
      </c>
      <c r="J6" s="13" t="s">
        <v>72</v>
      </c>
      <c r="K6" s="15" t="s">
        <v>9</v>
      </c>
    </row>
    <row r="7" spans="1:37" s="4" customFormat="1">
      <c r="A7" s="11"/>
      <c r="B7" s="12"/>
      <c r="C7" s="12" t="s">
        <v>90</v>
      </c>
      <c r="D7" s="12"/>
      <c r="G7" s="69" t="s">
        <v>91</v>
      </c>
      <c r="H7" s="13" t="s">
        <v>92</v>
      </c>
      <c r="I7" s="13" t="s">
        <v>93</v>
      </c>
      <c r="J7" s="13" t="s">
        <v>94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0"/>
      <c r="H8" s="75"/>
      <c r="I8" s="75"/>
      <c r="J8" s="75"/>
      <c r="K8" s="17"/>
    </row>
    <row r="9" spans="1:37" s="4" customFormat="1" ht="19.899999999999999" customHeight="1">
      <c r="A9" s="18" t="s">
        <v>16</v>
      </c>
      <c r="B9" s="19"/>
      <c r="C9" s="19" t="s">
        <v>95</v>
      </c>
      <c r="D9" s="20"/>
      <c r="E9" s="19"/>
      <c r="F9" s="19"/>
      <c r="G9" s="77">
        <v>19526</v>
      </c>
      <c r="H9" s="71">
        <f>29494-G9</f>
        <v>9968</v>
      </c>
      <c r="I9" s="77">
        <f>34053-H9</f>
        <v>24085</v>
      </c>
      <c r="J9" s="118">
        <f>46053-I9</f>
        <v>21968</v>
      </c>
      <c r="K9" s="20">
        <f>G9+H9+I9+J9</f>
        <v>75547</v>
      </c>
      <c r="L9" s="6"/>
    </row>
    <row r="10" spans="1:37" s="4" customFormat="1" ht="19.899999999999999" customHeight="1">
      <c r="A10" s="21"/>
      <c r="B10" s="22"/>
      <c r="C10" s="22" t="s">
        <v>0</v>
      </c>
      <c r="D10" s="23"/>
      <c r="E10" s="22"/>
      <c r="F10" s="28"/>
      <c r="G10" s="72"/>
      <c r="H10" s="72"/>
      <c r="I10" s="72"/>
      <c r="J10" s="76"/>
      <c r="K10" s="20"/>
      <c r="L10" s="6"/>
    </row>
    <row r="11" spans="1:37" s="4" customFormat="1" ht="19.899999999999999" customHeight="1">
      <c r="A11" s="24">
        <v>0.05</v>
      </c>
      <c r="B11" s="19"/>
      <c r="C11" s="19" t="s">
        <v>96</v>
      </c>
      <c r="D11" s="20"/>
      <c r="E11" s="19"/>
      <c r="F11" s="19"/>
      <c r="G11" s="77">
        <v>17045</v>
      </c>
      <c r="H11" s="77">
        <f>26910-G11</f>
        <v>9865</v>
      </c>
      <c r="I11" s="71">
        <f>48307-H11</f>
        <v>38442</v>
      </c>
      <c r="J11" s="77">
        <f>54135-I11</f>
        <v>15693</v>
      </c>
      <c r="K11" s="20">
        <f t="shared" ref="K11:K29" si="0">G11+H11+I11+J11</f>
        <v>81045</v>
      </c>
      <c r="L11" s="6"/>
    </row>
    <row r="12" spans="1:37" s="4" customFormat="1" ht="19.899999999999999" customHeight="1">
      <c r="A12" s="21"/>
      <c r="B12" s="22"/>
      <c r="C12" s="22" t="s">
        <v>0</v>
      </c>
      <c r="D12" s="23"/>
      <c r="E12" s="22"/>
      <c r="F12" s="28"/>
      <c r="G12" s="72"/>
      <c r="H12" s="72"/>
      <c r="I12" s="72"/>
      <c r="J12" s="72"/>
      <c r="K12" s="20"/>
      <c r="L12" s="6"/>
    </row>
    <row r="13" spans="1:37" ht="19.899999999999999" customHeight="1">
      <c r="A13" s="24">
        <v>0.04</v>
      </c>
      <c r="B13" s="19"/>
      <c r="C13" s="19" t="s">
        <v>97</v>
      </c>
      <c r="D13" s="20"/>
      <c r="E13" s="19"/>
      <c r="F13" s="19"/>
      <c r="G13" s="71">
        <v>25178</v>
      </c>
      <c r="H13" s="71">
        <f>40153-G13</f>
        <v>14975</v>
      </c>
      <c r="I13" s="71">
        <f>53088-H13</f>
        <v>38113</v>
      </c>
      <c r="J13" s="71">
        <f>10686</f>
        <v>10686</v>
      </c>
      <c r="K13" s="20">
        <f t="shared" si="0"/>
        <v>88952</v>
      </c>
      <c r="L13" s="6"/>
      <c r="M13" s="4"/>
    </row>
    <row r="14" spans="1:37" ht="19.899999999999999" customHeight="1">
      <c r="A14" s="21"/>
      <c r="B14" s="22"/>
      <c r="C14" s="22" t="s">
        <v>0</v>
      </c>
      <c r="D14" s="23"/>
      <c r="E14" s="22"/>
      <c r="F14" s="28"/>
      <c r="G14" s="72"/>
      <c r="H14" s="72"/>
      <c r="I14" s="72"/>
      <c r="J14" s="72"/>
      <c r="K14" s="20"/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899999999999999" customHeight="1">
      <c r="A15" s="41">
        <v>0.05</v>
      </c>
      <c r="B15" s="42"/>
      <c r="C15" s="46" t="s">
        <v>47</v>
      </c>
      <c r="D15" s="43"/>
      <c r="E15" s="42"/>
      <c r="F15" s="42"/>
      <c r="G15" s="74">
        <v>89357</v>
      </c>
      <c r="H15" s="74">
        <f>156165.53-G15</f>
        <v>66808.53</v>
      </c>
      <c r="I15" s="74">
        <f>219772.48-H15</f>
        <v>152963.95000000001</v>
      </c>
      <c r="J15" s="74">
        <f>284333.88-I15</f>
        <v>131369.93</v>
      </c>
      <c r="K15" s="20">
        <f t="shared" si="0"/>
        <v>440499.41</v>
      </c>
      <c r="L15" s="44"/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899999999999999" customHeight="1">
      <c r="A16" s="21"/>
      <c r="B16" s="22"/>
      <c r="C16" s="22"/>
      <c r="D16" s="23"/>
      <c r="E16" s="22"/>
      <c r="F16" s="28"/>
      <c r="G16" s="72"/>
      <c r="H16" s="72"/>
      <c r="I16" s="72"/>
      <c r="J16" s="72"/>
      <c r="K16" s="20"/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899999999999999" customHeight="1">
      <c r="A17" s="18" t="s">
        <v>22</v>
      </c>
      <c r="B17" s="19"/>
      <c r="C17" s="19" t="s">
        <v>98</v>
      </c>
      <c r="D17" s="26" t="s">
        <v>99</v>
      </c>
      <c r="E17" s="19"/>
      <c r="F17" s="19"/>
      <c r="G17" s="77">
        <v>336.71</v>
      </c>
      <c r="H17" s="71">
        <f>1228.05-G17</f>
        <v>891.33999999999992</v>
      </c>
      <c r="I17" s="77">
        <f>2022.73-H17</f>
        <v>1131.3900000000001</v>
      </c>
      <c r="J17" s="71">
        <v>920.68</v>
      </c>
      <c r="K17" s="20">
        <f t="shared" si="0"/>
        <v>3280.12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899999999999999" customHeight="1">
      <c r="A18" s="21"/>
      <c r="B18" s="22"/>
      <c r="C18" s="22" t="s">
        <v>0</v>
      </c>
      <c r="D18" s="23"/>
      <c r="E18" s="22"/>
      <c r="F18" s="28"/>
      <c r="G18" s="72"/>
      <c r="H18" s="72"/>
      <c r="I18" s="72"/>
      <c r="J18" s="72"/>
      <c r="K18" s="20"/>
      <c r="L18" s="6"/>
      <c r="M18" s="4"/>
    </row>
    <row r="19" spans="1:37" ht="19.899999999999999" customHeight="1">
      <c r="A19" s="27">
        <v>0.03</v>
      </c>
      <c r="B19" s="19"/>
      <c r="C19" s="19" t="s">
        <v>100</v>
      </c>
      <c r="D19" s="20"/>
      <c r="E19" s="19"/>
      <c r="F19" s="19"/>
      <c r="G19" s="71">
        <v>16275</v>
      </c>
      <c r="H19" s="71">
        <f>27047-G19</f>
        <v>10772</v>
      </c>
      <c r="I19" s="71">
        <f>28419-H19</f>
        <v>17647</v>
      </c>
      <c r="J19" s="71">
        <f>32503-I19</f>
        <v>14856</v>
      </c>
      <c r="K19" s="20">
        <f t="shared" si="0"/>
        <v>59550</v>
      </c>
      <c r="L19" s="6"/>
      <c r="M19" s="4"/>
    </row>
    <row r="20" spans="1:37" ht="19.899999999999999" customHeight="1">
      <c r="A20" s="21"/>
      <c r="B20" s="22"/>
      <c r="C20" s="22"/>
      <c r="D20" s="23"/>
      <c r="E20" s="22"/>
      <c r="F20" s="28"/>
      <c r="G20" s="72"/>
      <c r="H20" s="72"/>
      <c r="I20" s="72"/>
      <c r="J20" s="72"/>
      <c r="K20" s="20"/>
      <c r="L20" s="6"/>
      <c r="M20" s="4"/>
    </row>
    <row r="21" spans="1:37" ht="19.899999999999999" customHeight="1">
      <c r="A21" s="27">
        <v>0.05</v>
      </c>
      <c r="B21" s="19"/>
      <c r="C21" s="19" t="s">
        <v>101</v>
      </c>
      <c r="D21" s="20"/>
      <c r="E21" s="19"/>
      <c r="F21" s="19"/>
      <c r="G21" s="71">
        <v>4063</v>
      </c>
      <c r="H21" s="77">
        <f>7550.73-G21</f>
        <v>3487.7299999999996</v>
      </c>
      <c r="I21" s="71">
        <f>9106.5-H21</f>
        <v>5618.77</v>
      </c>
      <c r="J21" s="115">
        <f>14269.87-I21</f>
        <v>8651.1</v>
      </c>
      <c r="K21" s="20">
        <f t="shared" si="0"/>
        <v>21820.6</v>
      </c>
      <c r="L21" s="6"/>
      <c r="M21" s="4" t="s">
        <v>0</v>
      </c>
    </row>
    <row r="22" spans="1:37" ht="19.899999999999999" customHeight="1">
      <c r="A22" s="21"/>
      <c r="B22" s="22"/>
      <c r="C22" s="22"/>
      <c r="D22" s="23"/>
      <c r="E22" s="22"/>
      <c r="F22" s="28"/>
      <c r="G22" s="72"/>
      <c r="H22" s="72"/>
      <c r="I22" s="72"/>
      <c r="J22" s="72"/>
      <c r="K22" s="20">
        <f t="shared" si="0"/>
        <v>0</v>
      </c>
      <c r="L22" s="6"/>
      <c r="M22" s="4"/>
    </row>
    <row r="23" spans="1:37" ht="19.899999999999999" customHeight="1">
      <c r="A23" s="24">
        <v>0.05</v>
      </c>
      <c r="B23" s="19"/>
      <c r="C23" s="19" t="s">
        <v>102</v>
      </c>
      <c r="D23" s="20"/>
      <c r="E23" s="19"/>
      <c r="F23" s="19"/>
      <c r="G23" s="77">
        <v>16811</v>
      </c>
      <c r="H23" s="79">
        <f>22512-G23</f>
        <v>5701</v>
      </c>
      <c r="I23" s="77">
        <f>23577-H23</f>
        <v>17876</v>
      </c>
      <c r="J23" s="71">
        <f>27512-I23</f>
        <v>9636</v>
      </c>
      <c r="K23" s="20">
        <f t="shared" si="0"/>
        <v>50024</v>
      </c>
      <c r="L23" s="6"/>
      <c r="M23" s="4"/>
    </row>
    <row r="24" spans="1:37" ht="19.899999999999999" customHeight="1">
      <c r="A24" s="21"/>
      <c r="B24" s="22"/>
      <c r="C24" s="22" t="s">
        <v>0</v>
      </c>
      <c r="D24" s="23"/>
      <c r="E24" s="22"/>
      <c r="F24" s="28"/>
      <c r="G24" s="72"/>
      <c r="H24" s="72"/>
      <c r="I24" s="72"/>
      <c r="J24" s="72"/>
      <c r="K24" s="20"/>
      <c r="L24" s="6"/>
      <c r="M24" s="4"/>
    </row>
    <row r="25" spans="1:37" ht="19.899999999999999" customHeight="1">
      <c r="A25" s="24">
        <v>0.04</v>
      </c>
      <c r="B25" s="19"/>
      <c r="C25" s="19" t="s">
        <v>103</v>
      </c>
      <c r="D25" s="20"/>
      <c r="E25" s="19"/>
      <c r="F25" s="19"/>
      <c r="G25" s="71">
        <v>140127</v>
      </c>
      <c r="H25" s="71">
        <f>258096-G25</f>
        <v>117969</v>
      </c>
      <c r="I25" s="74">
        <f>309476-H25</f>
        <v>191507</v>
      </c>
      <c r="J25" s="77">
        <f>382783-I25</f>
        <v>191276</v>
      </c>
      <c r="K25" s="20">
        <f t="shared" si="0"/>
        <v>640879</v>
      </c>
      <c r="L25" s="6"/>
      <c r="M25" s="4" t="s">
        <v>0</v>
      </c>
    </row>
    <row r="26" spans="1:37" ht="19.899999999999999" customHeight="1">
      <c r="A26" s="21"/>
      <c r="B26" s="22"/>
      <c r="C26" s="22" t="s">
        <v>0</v>
      </c>
      <c r="D26" s="23"/>
      <c r="E26" s="22"/>
      <c r="F26" s="28"/>
      <c r="G26" s="72"/>
      <c r="H26" s="72"/>
      <c r="I26" s="72"/>
      <c r="J26" s="72"/>
      <c r="K26" s="20"/>
      <c r="L26" s="6"/>
      <c r="M26" s="4"/>
    </row>
    <row r="27" spans="1:37" ht="19.899999999999999" customHeight="1">
      <c r="A27" s="18" t="s">
        <v>22</v>
      </c>
      <c r="B27" s="19"/>
      <c r="C27" s="19" t="s">
        <v>104</v>
      </c>
      <c r="D27" s="20"/>
      <c r="E27" s="19"/>
      <c r="F27" s="19"/>
      <c r="G27" s="71">
        <v>24403</v>
      </c>
      <c r="H27" s="71">
        <f>25462-G27</f>
        <v>1059</v>
      </c>
      <c r="I27" s="71">
        <f>26521-H27</f>
        <v>25462</v>
      </c>
      <c r="J27" s="71">
        <f>27702-I27</f>
        <v>2240</v>
      </c>
      <c r="K27" s="20">
        <f t="shared" si="0"/>
        <v>53164</v>
      </c>
      <c r="L27" s="6"/>
      <c r="M27" s="4"/>
    </row>
    <row r="28" spans="1:37" ht="19.899999999999999" customHeight="1">
      <c r="A28" s="21"/>
      <c r="B28" s="22"/>
      <c r="C28" s="22" t="s">
        <v>0</v>
      </c>
      <c r="D28" s="23"/>
      <c r="E28" s="22"/>
      <c r="F28" s="28"/>
      <c r="G28" s="72"/>
      <c r="H28" s="72"/>
      <c r="I28" s="72"/>
      <c r="J28" s="72"/>
      <c r="K28" s="20"/>
      <c r="L28" s="6"/>
      <c r="M28" s="4"/>
    </row>
    <row r="29" spans="1:37" ht="19.899999999999999" customHeight="1">
      <c r="A29" s="24">
        <v>0.05</v>
      </c>
      <c r="B29" s="19"/>
      <c r="C29" s="19" t="s">
        <v>65</v>
      </c>
      <c r="D29" s="23"/>
      <c r="E29" s="19"/>
      <c r="F29" s="19"/>
      <c r="G29" s="71">
        <v>74321</v>
      </c>
      <c r="H29" s="71">
        <f>128961.41-G29</f>
        <v>54640.41</v>
      </c>
      <c r="I29" s="71">
        <f>168985.67-H29</f>
        <v>114345.26000000001</v>
      </c>
      <c r="J29" s="71">
        <f>227760-I29</f>
        <v>113414.73999999999</v>
      </c>
      <c r="K29" s="20">
        <f t="shared" si="0"/>
        <v>356721.41000000003</v>
      </c>
      <c r="L29" s="6"/>
      <c r="M29" s="4"/>
    </row>
    <row r="30" spans="1:37" ht="19.899999999999999" customHeight="1">
      <c r="A30" s="21"/>
      <c r="B30" s="22"/>
      <c r="C30" s="22"/>
      <c r="D30" s="28"/>
      <c r="E30" s="29"/>
      <c r="F30" s="29"/>
      <c r="G30" s="73"/>
      <c r="H30" s="73"/>
      <c r="I30" s="73"/>
      <c r="J30" s="117" t="s">
        <v>0</v>
      </c>
      <c r="K30" s="20"/>
      <c r="L30" s="6"/>
      <c r="M30" s="4"/>
    </row>
    <row r="31" spans="1:37" ht="17.25" thickBot="1">
      <c r="A31" s="30"/>
      <c r="B31" s="31"/>
      <c r="C31" s="31" t="s">
        <v>105</v>
      </c>
      <c r="D31" s="32"/>
      <c r="E31" s="31"/>
      <c r="F31" s="31"/>
      <c r="G31" s="74">
        <f>SUM(G9:G30)</f>
        <v>427442.70999999996</v>
      </c>
      <c r="H31" s="74">
        <f>SUM(H9:H30)</f>
        <v>296137.01</v>
      </c>
      <c r="I31" s="74">
        <f>SUM(I8:I30)</f>
        <v>627191.37000000011</v>
      </c>
      <c r="J31" s="119">
        <f>SUM(J8:J30)</f>
        <v>520711.44999999995</v>
      </c>
      <c r="K31" s="116">
        <f>G31+H31+I31+J31</f>
        <v>1871482.54</v>
      </c>
      <c r="L31" s="4"/>
      <c r="M31" s="4"/>
    </row>
    <row r="32" spans="1:37" s="4" customFormat="1" ht="15.75" thickTop="1">
      <c r="A32" s="5"/>
      <c r="B32" s="6"/>
      <c r="C32" s="6"/>
      <c r="D32" s="6"/>
      <c r="E32" s="6"/>
      <c r="F32" s="6"/>
      <c r="G32" s="6"/>
      <c r="H32" s="6"/>
      <c r="I32" s="33"/>
      <c r="J32" s="33"/>
      <c r="K32" s="7">
        <f>G31+H31+I31+J31</f>
        <v>1871482.54</v>
      </c>
    </row>
    <row r="33" spans="1:13" s="4" customFormat="1" ht="15.75">
      <c r="A33" s="34">
        <v>1</v>
      </c>
      <c r="B33" s="35"/>
      <c r="C33" s="6" t="s">
        <v>106</v>
      </c>
      <c r="D33" s="6"/>
      <c r="E33" s="6"/>
      <c r="F33" s="6"/>
      <c r="G33" s="6"/>
      <c r="H33" s="6"/>
      <c r="I33" s="6"/>
      <c r="J33" s="6"/>
      <c r="K33" s="7"/>
    </row>
    <row r="34" spans="1:13" ht="15.75">
      <c r="A34" s="36"/>
      <c r="B34" s="6"/>
      <c r="C34" s="6"/>
      <c r="D34" s="6"/>
      <c r="E34" s="6"/>
      <c r="F34" s="6"/>
      <c r="G34" s="6"/>
      <c r="H34" s="6"/>
      <c r="I34" s="6"/>
      <c r="J34" s="6"/>
      <c r="K34" s="7"/>
      <c r="L34" s="4"/>
      <c r="M34" s="4"/>
    </row>
    <row r="35" spans="1:13">
      <c r="A35" s="37"/>
      <c r="B35" s="38"/>
      <c r="C35" s="38"/>
      <c r="D35" s="38"/>
      <c r="E35" s="38"/>
      <c r="F35" s="38"/>
      <c r="G35" s="38"/>
      <c r="H35" s="38"/>
      <c r="I35" s="84"/>
      <c r="J35" s="38"/>
      <c r="K35" s="39"/>
    </row>
    <row r="38" spans="1:13" ht="15.75">
      <c r="C38" s="40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abSelected="1" topLeftCell="B1" workbookViewId="0">
      <selection activeCell="L15" sqref="L15"/>
    </sheetView>
  </sheetViews>
  <sheetFormatPr defaultRowHeight="15"/>
  <cols>
    <col min="1" max="1" width="2.33203125" style="151" customWidth="1"/>
    <col min="2" max="2" width="7.6640625" style="151" bestFit="1" customWidth="1"/>
    <col min="3" max="3" width="36.33203125" style="151" customWidth="1"/>
    <col min="4" max="4" width="10.88671875" style="151" customWidth="1"/>
    <col min="5" max="5" width="11.5546875" style="151" customWidth="1"/>
    <col min="6" max="7" width="10.5546875" style="151" bestFit="1" customWidth="1"/>
    <col min="8" max="8" width="13.88671875" style="225" bestFit="1" customWidth="1"/>
    <col min="9" max="16384" width="8.88671875" style="151"/>
  </cols>
  <sheetData>
    <row r="1" spans="2:8" ht="12" customHeight="1"/>
    <row r="2" spans="2:8">
      <c r="B2" s="286" t="s">
        <v>1</v>
      </c>
      <c r="C2" s="287"/>
      <c r="D2" s="287"/>
      <c r="E2" s="287"/>
      <c r="F2" s="287"/>
      <c r="G2" s="287"/>
      <c r="H2" s="288"/>
    </row>
    <row r="3" spans="2:8">
      <c r="B3" s="289" t="s">
        <v>107</v>
      </c>
      <c r="C3" s="288"/>
      <c r="D3" s="288"/>
      <c r="E3" s="288"/>
      <c r="F3" s="288"/>
      <c r="G3" s="288"/>
      <c r="H3" s="288"/>
    </row>
    <row r="4" spans="2:8">
      <c r="B4" s="289" t="s">
        <v>152</v>
      </c>
      <c r="C4" s="288"/>
      <c r="D4" s="288"/>
      <c r="E4" s="288"/>
      <c r="F4" s="288"/>
      <c r="G4" s="288"/>
      <c r="H4" s="288"/>
    </row>
    <row r="5" spans="2:8">
      <c r="B5" s="226" t="s">
        <v>2</v>
      </c>
      <c r="C5" s="227" t="s">
        <v>2</v>
      </c>
      <c r="D5" s="227" t="s">
        <v>2</v>
      </c>
      <c r="E5" s="227" t="s">
        <v>2</v>
      </c>
      <c r="F5" s="227" t="s">
        <v>2</v>
      </c>
      <c r="G5" s="227" t="s">
        <v>2</v>
      </c>
      <c r="H5" s="227" t="s">
        <v>2</v>
      </c>
    </row>
    <row r="6" spans="2:8">
      <c r="B6" s="290" t="s">
        <v>150</v>
      </c>
      <c r="C6" s="292" t="s">
        <v>10</v>
      </c>
      <c r="D6" s="221" t="s">
        <v>3</v>
      </c>
      <c r="E6" s="221" t="s">
        <v>4</v>
      </c>
      <c r="F6" s="221" t="s">
        <v>5</v>
      </c>
      <c r="G6" s="150" t="s">
        <v>6</v>
      </c>
      <c r="H6" s="299"/>
    </row>
    <row r="7" spans="2:8">
      <c r="B7" s="290"/>
      <c r="C7" s="292"/>
      <c r="D7" s="150" t="s">
        <v>7</v>
      </c>
      <c r="E7" s="150" t="s">
        <v>8</v>
      </c>
      <c r="F7" s="150" t="s">
        <v>7</v>
      </c>
      <c r="G7" s="150" t="s">
        <v>72</v>
      </c>
      <c r="H7" s="283" t="s">
        <v>9</v>
      </c>
    </row>
    <row r="8" spans="2:8">
      <c r="B8" s="291"/>
      <c r="C8" s="293"/>
      <c r="D8" s="148" t="s">
        <v>11</v>
      </c>
      <c r="E8" s="148" t="s">
        <v>12</v>
      </c>
      <c r="F8" s="149" t="s">
        <v>13</v>
      </c>
      <c r="G8" s="148" t="s">
        <v>14</v>
      </c>
      <c r="H8" s="283" t="s">
        <v>15</v>
      </c>
    </row>
    <row r="9" spans="2:8" ht="15.75">
      <c r="B9" s="228" t="s">
        <v>16</v>
      </c>
      <c r="C9" s="223" t="s">
        <v>17</v>
      </c>
      <c r="D9" s="224">
        <v>145641</v>
      </c>
      <c r="E9" s="145">
        <f>277689-145641</f>
        <v>132048</v>
      </c>
      <c r="F9" s="145">
        <f>406547-132048-145641</f>
        <v>128858</v>
      </c>
      <c r="G9" s="294">
        <f>551102-F9-E9-D9</f>
        <v>144555</v>
      </c>
      <c r="H9" s="145">
        <f>D9+E9+F9+G9</f>
        <v>551102</v>
      </c>
    </row>
    <row r="10" spans="2:8" ht="15.75">
      <c r="B10" s="143">
        <v>0.05</v>
      </c>
      <c r="C10" s="103" t="s">
        <v>77</v>
      </c>
      <c r="D10" s="145">
        <f>2866240</f>
        <v>2866240</v>
      </c>
      <c r="E10" s="145">
        <f>5084442-2866240</f>
        <v>2218202</v>
      </c>
      <c r="F10" s="145">
        <f>7455864-2218202-2866240</f>
        <v>2371422</v>
      </c>
      <c r="G10" s="294">
        <f>10445120-F10-E10-D10</f>
        <v>2989256</v>
      </c>
      <c r="H10" s="145">
        <f t="shared" ref="H10:H18" si="0">D10+E10+F10+G10</f>
        <v>10445120</v>
      </c>
    </row>
    <row r="11" spans="2:8" ht="15.75">
      <c r="B11" s="143">
        <v>0.01</v>
      </c>
      <c r="C11" s="103" t="s">
        <v>80</v>
      </c>
      <c r="D11" s="145">
        <f>573248</f>
        <v>573248</v>
      </c>
      <c r="E11" s="145">
        <f>1016888-D11</f>
        <v>443640</v>
      </c>
      <c r="F11" s="145">
        <f>1491173-443640-573248</f>
        <v>474285</v>
      </c>
      <c r="G11" s="294">
        <f>2089024-474285-443640-573248</f>
        <v>597851</v>
      </c>
      <c r="H11" s="145">
        <f t="shared" si="0"/>
        <v>2089024</v>
      </c>
    </row>
    <row r="12" spans="2:8" ht="15.75">
      <c r="B12" s="228" t="s">
        <v>16</v>
      </c>
      <c r="C12" s="103" t="s">
        <v>18</v>
      </c>
      <c r="D12" s="145">
        <f>63755</f>
        <v>63755</v>
      </c>
      <c r="E12" s="145">
        <f>95247-63755-1</f>
        <v>31491</v>
      </c>
      <c r="F12" s="145">
        <f>243242-63755-31491-1</f>
        <v>147995</v>
      </c>
      <c r="G12" s="294">
        <f>298634-63755-31491-147995</f>
        <v>55393</v>
      </c>
      <c r="H12" s="145">
        <f t="shared" si="0"/>
        <v>298634</v>
      </c>
    </row>
    <row r="13" spans="2:8" ht="15.75">
      <c r="B13" s="228" t="s">
        <v>16</v>
      </c>
      <c r="C13" s="103" t="s">
        <v>19</v>
      </c>
      <c r="D13" s="145">
        <f>58758</f>
        <v>58758</v>
      </c>
      <c r="E13" s="145">
        <f>225389-58758</f>
        <v>166631</v>
      </c>
      <c r="F13" s="145">
        <f>286187-166631-58758</f>
        <v>60798</v>
      </c>
      <c r="G13" s="294">
        <f>400050-60798-166631-58758</f>
        <v>113863</v>
      </c>
      <c r="H13" s="145">
        <f t="shared" si="0"/>
        <v>400050</v>
      </c>
    </row>
    <row r="14" spans="2:8" ht="15.75">
      <c r="B14" s="228" t="s">
        <v>16</v>
      </c>
      <c r="C14" s="103" t="s">
        <v>20</v>
      </c>
      <c r="D14" s="145">
        <f>7008</f>
        <v>7008</v>
      </c>
      <c r="E14" s="145">
        <f>21840-7008</f>
        <v>14832</v>
      </c>
      <c r="F14" s="145">
        <f>22555-7008-14832</f>
        <v>715</v>
      </c>
      <c r="G14" s="294">
        <f>25356-715-14832-7008</f>
        <v>2801</v>
      </c>
      <c r="H14" s="145">
        <f t="shared" si="0"/>
        <v>25356</v>
      </c>
    </row>
    <row r="15" spans="2:8" ht="15.75">
      <c r="B15" s="143">
        <v>0.04</v>
      </c>
      <c r="C15" s="103" t="s">
        <v>21</v>
      </c>
      <c r="D15" s="145">
        <f>13120</f>
        <v>13120</v>
      </c>
      <c r="E15" s="145">
        <f>27669-13120</f>
        <v>14549</v>
      </c>
      <c r="F15" s="145">
        <f>45882-14549-13120</f>
        <v>18213</v>
      </c>
      <c r="G15" s="294">
        <f>52466-13120-14549-18213</f>
        <v>6584</v>
      </c>
      <c r="H15" s="145">
        <f t="shared" si="0"/>
        <v>52466</v>
      </c>
    </row>
    <row r="16" spans="2:8" ht="15.75">
      <c r="B16" s="228" t="s">
        <v>22</v>
      </c>
      <c r="C16" s="103" t="s">
        <v>23</v>
      </c>
      <c r="D16" s="145">
        <f>38458</f>
        <v>38458</v>
      </c>
      <c r="E16" s="145">
        <f>72872-38458</f>
        <v>34414</v>
      </c>
      <c r="F16" s="145">
        <f>91503-34414-38458</f>
        <v>18631</v>
      </c>
      <c r="G16" s="294">
        <f>129986-18631-34414-38458</f>
        <v>38483</v>
      </c>
      <c r="H16" s="145">
        <f t="shared" si="0"/>
        <v>129986</v>
      </c>
    </row>
    <row r="17" spans="2:8" ht="15.75">
      <c r="B17" s="143">
        <v>0.03</v>
      </c>
      <c r="C17" s="103" t="s">
        <v>74</v>
      </c>
      <c r="D17" s="145">
        <f>20453</f>
        <v>20453</v>
      </c>
      <c r="E17" s="145">
        <f>33330-20453</f>
        <v>12877</v>
      </c>
      <c r="F17" s="145">
        <f>44080-20453-12877</f>
        <v>10750</v>
      </c>
      <c r="G17" s="294">
        <f>55114-20453-12877-10750</f>
        <v>11034</v>
      </c>
      <c r="H17" s="145">
        <f t="shared" si="0"/>
        <v>55114</v>
      </c>
    </row>
    <row r="18" spans="2:8" ht="15.75">
      <c r="B18" s="143">
        <v>0.03</v>
      </c>
      <c r="C18" s="103" t="s">
        <v>75</v>
      </c>
      <c r="D18" s="145">
        <f>1668</f>
        <v>1668</v>
      </c>
      <c r="E18" s="145">
        <v>903</v>
      </c>
      <c r="F18" s="145">
        <f>4241-3527</f>
        <v>714</v>
      </c>
      <c r="G18" s="294">
        <v>956</v>
      </c>
      <c r="H18" s="145">
        <f t="shared" si="0"/>
        <v>4241</v>
      </c>
    </row>
    <row r="19" spans="2:8" ht="15.75">
      <c r="B19" s="143">
        <v>0.05</v>
      </c>
      <c r="C19" s="103" t="s">
        <v>24</v>
      </c>
      <c r="D19" s="145">
        <v>472993</v>
      </c>
      <c r="E19" s="145">
        <v>371961</v>
      </c>
      <c r="F19" s="145">
        <v>405958</v>
      </c>
      <c r="G19" s="294">
        <v>586326</v>
      </c>
      <c r="H19" s="145">
        <f>D19+E19+F19+G19</f>
        <v>1837238</v>
      </c>
    </row>
    <row r="20" spans="2:8" ht="15.75">
      <c r="B20" s="228" t="s">
        <v>22</v>
      </c>
      <c r="C20" s="103" t="s">
        <v>25</v>
      </c>
      <c r="D20" s="145">
        <v>2987</v>
      </c>
      <c r="E20" s="145">
        <f>5348-2987</f>
        <v>2361</v>
      </c>
      <c r="F20" s="145">
        <f>7787-2361-2987</f>
        <v>2439</v>
      </c>
      <c r="G20" s="295">
        <f>9921-2987-2361-2439</f>
        <v>2134</v>
      </c>
      <c r="H20" s="145">
        <f>D20+E20+F20+G20</f>
        <v>9921</v>
      </c>
    </row>
    <row r="21" spans="2:8" ht="15.75">
      <c r="B21" s="143">
        <v>0.04</v>
      </c>
      <c r="C21" s="103" t="s">
        <v>26</v>
      </c>
      <c r="D21" s="145">
        <v>48248</v>
      </c>
      <c r="E21" s="145">
        <v>37920</v>
      </c>
      <c r="F21" s="145">
        <v>7976</v>
      </c>
      <c r="G21" s="294">
        <v>11570</v>
      </c>
      <c r="H21" s="145">
        <f>D21+E21+F21+G21</f>
        <v>105714</v>
      </c>
    </row>
    <row r="22" spans="2:8" ht="15.75">
      <c r="B22" s="228" t="s">
        <v>27</v>
      </c>
      <c r="C22" s="103" t="s">
        <v>28</v>
      </c>
      <c r="D22" s="145">
        <v>8625</v>
      </c>
      <c r="E22" s="145">
        <f>14933-8625</f>
        <v>6308</v>
      </c>
      <c r="F22" s="145">
        <f>16771-6308-8625</f>
        <v>1838</v>
      </c>
      <c r="G22" s="294">
        <f>20466-1838-6308-8625</f>
        <v>3695</v>
      </c>
      <c r="H22" s="145">
        <f t="shared" ref="H22:H75" si="1">D22+E22+F22+G22</f>
        <v>20466</v>
      </c>
    </row>
    <row r="23" spans="2:8" ht="15.75">
      <c r="B23" s="143">
        <v>0.05</v>
      </c>
      <c r="C23" s="103" t="s">
        <v>29</v>
      </c>
      <c r="D23" s="145">
        <f>58078</f>
        <v>58078</v>
      </c>
      <c r="E23" s="145">
        <f>93791-58078</f>
        <v>35713</v>
      </c>
      <c r="F23" s="145">
        <f>116912-35713-58078</f>
        <v>23121</v>
      </c>
      <c r="G23" s="294">
        <f>151612-58078-35713-23121</f>
        <v>34700</v>
      </c>
      <c r="H23" s="145">
        <f t="shared" si="1"/>
        <v>151612</v>
      </c>
    </row>
    <row r="24" spans="2:8" ht="15.75">
      <c r="B24" s="143">
        <v>0.05</v>
      </c>
      <c r="C24" s="103" t="s">
        <v>76</v>
      </c>
      <c r="D24" s="145">
        <v>37750</v>
      </c>
      <c r="E24" s="145">
        <f>59277-37750</f>
        <v>21527</v>
      </c>
      <c r="F24" s="145">
        <f>79733-21527-37750</f>
        <v>20456</v>
      </c>
      <c r="G24" s="294">
        <f>121361-37750-21527-20456</f>
        <v>41628</v>
      </c>
      <c r="H24" s="145">
        <f t="shared" si="1"/>
        <v>121361</v>
      </c>
    </row>
    <row r="25" spans="2:8" ht="15.75">
      <c r="B25" s="143">
        <v>0.05</v>
      </c>
      <c r="C25" s="103" t="s">
        <v>30</v>
      </c>
      <c r="D25" s="145">
        <f>194927</f>
        <v>194927</v>
      </c>
      <c r="E25" s="145">
        <f>382657-194927</f>
        <v>187730</v>
      </c>
      <c r="F25" s="145">
        <f>544687-187730-194927</f>
        <v>162030</v>
      </c>
      <c r="G25" s="294">
        <f>748580-162030-187730-194924-3</f>
        <v>203893</v>
      </c>
      <c r="H25" s="145">
        <f t="shared" si="1"/>
        <v>748580</v>
      </c>
    </row>
    <row r="26" spans="2:8" ht="15.75">
      <c r="B26" s="143">
        <v>0.05</v>
      </c>
      <c r="C26" s="103" t="s">
        <v>31</v>
      </c>
      <c r="D26" s="145">
        <v>796</v>
      </c>
      <c r="E26" s="145">
        <f>1595-796</f>
        <v>799</v>
      </c>
      <c r="F26" s="145">
        <f>2739-799-796</f>
        <v>1144</v>
      </c>
      <c r="G26" s="294">
        <f>3809-1144-799-796</f>
        <v>1070</v>
      </c>
      <c r="H26" s="145">
        <f t="shared" si="1"/>
        <v>3809</v>
      </c>
    </row>
    <row r="27" spans="2:8" ht="15.75">
      <c r="B27" s="229">
        <v>3.5000000000000003E-2</v>
      </c>
      <c r="C27" s="103" t="s">
        <v>73</v>
      </c>
      <c r="D27" s="145">
        <v>1104</v>
      </c>
      <c r="E27" s="145">
        <f>2262-1104</f>
        <v>1158</v>
      </c>
      <c r="F27" s="145">
        <f>3012-1104-1158</f>
        <v>750</v>
      </c>
      <c r="G27" s="295">
        <f>4200-1104-1158-750</f>
        <v>1188</v>
      </c>
      <c r="H27" s="145">
        <f>D27+E27+F27+G27</f>
        <v>4200</v>
      </c>
    </row>
    <row r="28" spans="2:8" ht="15.75">
      <c r="B28" s="228" t="s">
        <v>22</v>
      </c>
      <c r="C28" s="103" t="s">
        <v>32</v>
      </c>
      <c r="D28" s="145">
        <v>5842</v>
      </c>
      <c r="E28" s="145">
        <f>8306-5842</f>
        <v>2464</v>
      </c>
      <c r="F28" s="282">
        <f>9839-5842-2464</f>
        <v>1533</v>
      </c>
      <c r="G28" s="295">
        <f>13089-5842-2464-1533</f>
        <v>3250</v>
      </c>
      <c r="H28" s="145">
        <f>D28+E28+F28+G28</f>
        <v>13089</v>
      </c>
    </row>
    <row r="29" spans="2:8" ht="15.75">
      <c r="B29" s="230" t="s">
        <v>16</v>
      </c>
      <c r="C29" s="103" t="s">
        <v>79</v>
      </c>
      <c r="D29" s="145">
        <f>98801</f>
        <v>98801</v>
      </c>
      <c r="E29" s="145">
        <f>193129-98801</f>
        <v>94328</v>
      </c>
      <c r="F29" s="145">
        <f>296937-94328-98801</f>
        <v>103808</v>
      </c>
      <c r="G29" s="294">
        <f>401595-103808-94328-98801</f>
        <v>104658</v>
      </c>
      <c r="H29" s="145">
        <f t="shared" si="1"/>
        <v>401595</v>
      </c>
    </row>
    <row r="30" spans="2:8" ht="15.75">
      <c r="B30" s="228" t="s">
        <v>22</v>
      </c>
      <c r="C30" s="103" t="s">
        <v>33</v>
      </c>
      <c r="D30" s="145">
        <f>15326</f>
        <v>15326</v>
      </c>
      <c r="E30" s="145">
        <f>21570-15326</f>
        <v>6244</v>
      </c>
      <c r="F30" s="145">
        <f>27190-6244-15326</f>
        <v>5620</v>
      </c>
      <c r="G30" s="294">
        <f>31979-15326-6244-5620</f>
        <v>4789</v>
      </c>
      <c r="H30" s="145">
        <f t="shared" si="1"/>
        <v>31979</v>
      </c>
    </row>
    <row r="31" spans="2:8" ht="15.75">
      <c r="B31" s="143">
        <v>0.05</v>
      </c>
      <c r="C31" s="103" t="s">
        <v>71</v>
      </c>
      <c r="D31" s="145">
        <v>13518</v>
      </c>
      <c r="E31" s="145">
        <f>22802-13518</f>
        <v>9284</v>
      </c>
      <c r="F31" s="145">
        <f>28266-13518-9284</f>
        <v>5464</v>
      </c>
      <c r="G31" s="294">
        <f>41585-13518-9284-5464</f>
        <v>13319</v>
      </c>
      <c r="H31" s="145">
        <f t="shared" si="1"/>
        <v>41585</v>
      </c>
    </row>
    <row r="32" spans="2:8" ht="15.75">
      <c r="B32" s="143">
        <v>0.05</v>
      </c>
      <c r="C32" s="103" t="s">
        <v>34</v>
      </c>
      <c r="D32" s="145">
        <f>4619</f>
        <v>4619</v>
      </c>
      <c r="E32" s="145">
        <f>7000-4619</f>
        <v>2381</v>
      </c>
      <c r="F32" s="145">
        <f>12964-4619-2381</f>
        <v>5964</v>
      </c>
      <c r="G32" s="294">
        <f>25336-4619-2381-5964</f>
        <v>12372</v>
      </c>
      <c r="H32" s="145">
        <f t="shared" si="1"/>
        <v>25336</v>
      </c>
    </row>
    <row r="33" spans="2:8" ht="15.75">
      <c r="B33" s="228" t="s">
        <v>16</v>
      </c>
      <c r="C33" s="103" t="s">
        <v>35</v>
      </c>
      <c r="D33" s="145">
        <f>357090</f>
        <v>357090</v>
      </c>
      <c r="E33" s="145">
        <f>648158-357090</f>
        <v>291068</v>
      </c>
      <c r="F33" s="145">
        <f>855734-357090-291068</f>
        <v>207576</v>
      </c>
      <c r="G33" s="294">
        <f>1169299-357090-291068-207576</f>
        <v>313565</v>
      </c>
      <c r="H33" s="145">
        <f t="shared" si="1"/>
        <v>1169299</v>
      </c>
    </row>
    <row r="34" spans="2:8" ht="15.75">
      <c r="B34" s="231">
        <v>2.5</v>
      </c>
      <c r="C34" s="103" t="s">
        <v>146</v>
      </c>
      <c r="D34" s="145">
        <v>222023</v>
      </c>
      <c r="E34" s="145">
        <f>410730-222023</f>
        <v>188707</v>
      </c>
      <c r="F34" s="145">
        <f>551866-222023-188707</f>
        <v>141136</v>
      </c>
      <c r="G34" s="294">
        <f>760729-222023-188707-141136</f>
        <v>208863</v>
      </c>
      <c r="H34" s="145">
        <f t="shared" si="1"/>
        <v>760729</v>
      </c>
    </row>
    <row r="35" spans="2:8" ht="15.75">
      <c r="B35" s="228" t="s">
        <v>16</v>
      </c>
      <c r="C35" s="103" t="s">
        <v>36</v>
      </c>
      <c r="D35" s="145">
        <v>9198</v>
      </c>
      <c r="E35" s="145">
        <f>17965-9198</f>
        <v>8767</v>
      </c>
      <c r="F35" s="145">
        <f>21991-9198-8767</f>
        <v>4026</v>
      </c>
      <c r="G35" s="294">
        <f>27759-9198-8767-4026</f>
        <v>5768</v>
      </c>
      <c r="H35" s="145">
        <f t="shared" si="1"/>
        <v>27759</v>
      </c>
    </row>
    <row r="36" spans="2:8" ht="15.75">
      <c r="B36" s="228" t="s">
        <v>16</v>
      </c>
      <c r="C36" s="103" t="s">
        <v>37</v>
      </c>
      <c r="D36" s="145">
        <v>415038</v>
      </c>
      <c r="E36" s="145">
        <f>790382-415038</f>
        <v>375344</v>
      </c>
      <c r="F36" s="145">
        <f>1093404-415038-375344</f>
        <v>303022</v>
      </c>
      <c r="G36" s="294">
        <f>1478840-415038-375344-303022</f>
        <v>385436</v>
      </c>
      <c r="H36" s="145">
        <f t="shared" si="1"/>
        <v>1478840</v>
      </c>
    </row>
    <row r="37" spans="2:8" ht="15.75">
      <c r="B37" s="228" t="s">
        <v>16</v>
      </c>
      <c r="C37" s="103" t="s">
        <v>38</v>
      </c>
      <c r="D37" s="145">
        <v>88879</v>
      </c>
      <c r="E37" s="145">
        <f>169887-88879</f>
        <v>81008</v>
      </c>
      <c r="F37" s="145">
        <f>235387-88879-81008</f>
        <v>65500</v>
      </c>
      <c r="G37" s="294">
        <f>340780-88879-81008-65500</f>
        <v>105393</v>
      </c>
      <c r="H37" s="145">
        <f t="shared" si="1"/>
        <v>340780</v>
      </c>
    </row>
    <row r="38" spans="2:8" ht="15.75">
      <c r="B38" s="228" t="s">
        <v>22</v>
      </c>
      <c r="C38" s="103" t="s">
        <v>39</v>
      </c>
      <c r="D38" s="145">
        <v>102</v>
      </c>
      <c r="E38" s="145">
        <f>194.04-102</f>
        <v>92.039999999999992</v>
      </c>
      <c r="F38" s="145">
        <f>398.04-102-92</f>
        <v>204.04000000000002</v>
      </c>
      <c r="G38" s="294">
        <v>64</v>
      </c>
      <c r="H38" s="145">
        <f t="shared" si="1"/>
        <v>462.08000000000004</v>
      </c>
    </row>
    <row r="39" spans="2:8" ht="15.75">
      <c r="B39" s="143">
        <v>0.05</v>
      </c>
      <c r="C39" s="103" t="s">
        <v>40</v>
      </c>
      <c r="D39" s="145">
        <v>209875</v>
      </c>
      <c r="E39" s="145">
        <f>461105-209875</f>
        <v>251230</v>
      </c>
      <c r="F39" s="145">
        <f>673231-209875-251230</f>
        <v>212126</v>
      </c>
      <c r="G39" s="294">
        <f>944587-209875-251230-212126</f>
        <v>271356</v>
      </c>
      <c r="H39" s="145">
        <f t="shared" si="1"/>
        <v>944587</v>
      </c>
    </row>
    <row r="40" spans="2:8" ht="15.75">
      <c r="B40" s="143">
        <v>0.03</v>
      </c>
      <c r="C40" s="103" t="s">
        <v>154</v>
      </c>
      <c r="D40" s="145">
        <v>0</v>
      </c>
      <c r="E40" s="145">
        <v>0</v>
      </c>
      <c r="F40" s="145">
        <v>0</v>
      </c>
      <c r="G40" s="294">
        <v>0</v>
      </c>
      <c r="H40" s="145">
        <f t="shared" si="1"/>
        <v>0</v>
      </c>
    </row>
    <row r="41" spans="2:8" ht="15.75">
      <c r="B41" s="228" t="s">
        <v>16</v>
      </c>
      <c r="C41" s="103" t="s">
        <v>42</v>
      </c>
      <c r="D41" s="145">
        <f>5656</f>
        <v>5656</v>
      </c>
      <c r="E41" s="145">
        <f>11002-5656</f>
        <v>5346</v>
      </c>
      <c r="F41" s="145">
        <f>13717-5656-5346</f>
        <v>2715</v>
      </c>
      <c r="G41" s="294">
        <f>17132-5656-5346-2715</f>
        <v>3415</v>
      </c>
      <c r="H41" s="145">
        <f t="shared" si="1"/>
        <v>17132</v>
      </c>
    </row>
    <row r="42" spans="2:8" ht="15.75">
      <c r="B42" s="228" t="s">
        <v>16</v>
      </c>
      <c r="C42" s="103" t="s">
        <v>43</v>
      </c>
      <c r="D42" s="145">
        <f>524585</f>
        <v>524585</v>
      </c>
      <c r="E42" s="145">
        <f>1030924-524585</f>
        <v>506339</v>
      </c>
      <c r="F42" s="145">
        <f>1474064-524585-506339</f>
        <v>443140</v>
      </c>
      <c r="G42" s="296">
        <f>499942</f>
        <v>499942</v>
      </c>
      <c r="H42" s="145">
        <f t="shared" si="1"/>
        <v>1974006</v>
      </c>
    </row>
    <row r="43" spans="2:8" ht="15.75">
      <c r="B43" s="231">
        <v>2.5</v>
      </c>
      <c r="C43" s="103" t="s">
        <v>142</v>
      </c>
      <c r="D43" s="145">
        <f>316705</f>
        <v>316705</v>
      </c>
      <c r="E43" s="145">
        <f>617599-316705</f>
        <v>300894</v>
      </c>
      <c r="F43" s="145">
        <f>899241-316705-300894</f>
        <v>281642</v>
      </c>
      <c r="G43" s="294">
        <f>310273</f>
        <v>310273</v>
      </c>
      <c r="H43" s="145">
        <f t="shared" si="1"/>
        <v>1209514</v>
      </c>
    </row>
    <row r="44" spans="2:8" ht="15.75">
      <c r="B44" s="228" t="s">
        <v>27</v>
      </c>
      <c r="C44" s="103" t="s">
        <v>44</v>
      </c>
      <c r="D44" s="145">
        <f>90371</f>
        <v>90371</v>
      </c>
      <c r="E44" s="145">
        <f>172733-90371</f>
        <v>82362</v>
      </c>
      <c r="F44" s="145">
        <f>237002-90371-82362</f>
        <v>64269</v>
      </c>
      <c r="G44" s="294">
        <f>316446-90371-82362-64269</f>
        <v>79444</v>
      </c>
      <c r="H44" s="145">
        <f t="shared" si="1"/>
        <v>316446</v>
      </c>
    </row>
    <row r="45" spans="2:8" ht="15.75">
      <c r="B45" s="228" t="s">
        <v>22</v>
      </c>
      <c r="C45" s="103" t="s">
        <v>45</v>
      </c>
      <c r="D45" s="145">
        <f>3247</f>
        <v>3247</v>
      </c>
      <c r="E45" s="145">
        <f>5159-3247</f>
        <v>1912</v>
      </c>
      <c r="F45" s="145">
        <f>5891-3247-1912</f>
        <v>732</v>
      </c>
      <c r="G45" s="294">
        <f>8170-3247-1912-732</f>
        <v>2279</v>
      </c>
      <c r="H45" s="145">
        <f t="shared" si="1"/>
        <v>8170</v>
      </c>
    </row>
    <row r="46" spans="2:8" ht="15.75">
      <c r="B46" s="228" t="s">
        <v>16</v>
      </c>
      <c r="C46" s="103" t="s">
        <v>46</v>
      </c>
      <c r="D46" s="145">
        <v>57341</v>
      </c>
      <c r="E46" s="145">
        <f>107478-57341</f>
        <v>50137</v>
      </c>
      <c r="F46" s="145">
        <f>168765-57341-50137</f>
        <v>61287</v>
      </c>
      <c r="G46" s="294">
        <f>222883-57341-50137-61287</f>
        <v>54118</v>
      </c>
      <c r="H46" s="145">
        <f t="shared" si="1"/>
        <v>222883</v>
      </c>
    </row>
    <row r="47" spans="2:8" ht="15.75">
      <c r="B47" s="228" t="s">
        <v>27</v>
      </c>
      <c r="C47" s="103" t="s">
        <v>48</v>
      </c>
      <c r="D47" s="145">
        <f>19399</f>
        <v>19399</v>
      </c>
      <c r="E47" s="145">
        <f>35640-19399</f>
        <v>16241</v>
      </c>
      <c r="F47" s="145">
        <f>60359-19399-16241</f>
        <v>24719</v>
      </c>
      <c r="G47" s="294">
        <f>83270-19399-16241-24719</f>
        <v>22911</v>
      </c>
      <c r="H47" s="145">
        <f t="shared" si="1"/>
        <v>83270</v>
      </c>
    </row>
    <row r="48" spans="2:8" ht="15.75">
      <c r="B48" s="230" t="s">
        <v>16</v>
      </c>
      <c r="C48" s="103" t="s">
        <v>49</v>
      </c>
      <c r="D48" s="145">
        <f>24021</f>
        <v>24021</v>
      </c>
      <c r="E48" s="145">
        <f>40884-24021</f>
        <v>16863</v>
      </c>
      <c r="F48" s="145">
        <f>60084-24021-16863</f>
        <v>19200</v>
      </c>
      <c r="G48" s="294">
        <f>86631-24021-16863-19200</f>
        <v>26547</v>
      </c>
      <c r="H48" s="145">
        <f t="shared" si="1"/>
        <v>86631</v>
      </c>
    </row>
    <row r="49" spans="2:8" ht="15.75">
      <c r="B49" s="143">
        <v>0.04</v>
      </c>
      <c r="C49" s="103" t="s">
        <v>50</v>
      </c>
      <c r="D49" s="145">
        <f>911</f>
        <v>911</v>
      </c>
      <c r="E49" s="145">
        <f>1110-911</f>
        <v>199</v>
      </c>
      <c r="F49" s="145">
        <f>2161-911-199</f>
        <v>1051</v>
      </c>
      <c r="G49" s="294">
        <f>3717-911-199-1051</f>
        <v>1556</v>
      </c>
      <c r="H49" s="145">
        <f t="shared" si="1"/>
        <v>3717</v>
      </c>
    </row>
    <row r="50" spans="2:8" ht="15.75">
      <c r="B50" s="228" t="s">
        <v>16</v>
      </c>
      <c r="C50" s="103" t="s">
        <v>116</v>
      </c>
      <c r="D50" s="145">
        <v>878</v>
      </c>
      <c r="E50" s="145">
        <f>1627-878</f>
        <v>749</v>
      </c>
      <c r="F50" s="145">
        <f>8268-878-749</f>
        <v>6641</v>
      </c>
      <c r="G50" s="294">
        <f>9420-878-749-6641</f>
        <v>1152</v>
      </c>
      <c r="H50" s="145">
        <f t="shared" si="1"/>
        <v>9420</v>
      </c>
    </row>
    <row r="51" spans="2:8" ht="15.75">
      <c r="B51" s="228" t="s">
        <v>22</v>
      </c>
      <c r="C51" s="103" t="s">
        <v>51</v>
      </c>
      <c r="D51" s="145">
        <v>671</v>
      </c>
      <c r="E51" s="145">
        <f>1467-671</f>
        <v>796</v>
      </c>
      <c r="F51" s="145">
        <f>2509-671-796</f>
        <v>1042</v>
      </c>
      <c r="G51" s="294">
        <f>3008-671-796-1042</f>
        <v>499</v>
      </c>
      <c r="H51" s="145">
        <f t="shared" si="1"/>
        <v>3008</v>
      </c>
    </row>
    <row r="52" spans="2:8" ht="15.75">
      <c r="B52" s="228" t="s">
        <v>16</v>
      </c>
      <c r="C52" s="103" t="s">
        <v>52</v>
      </c>
      <c r="D52" s="145">
        <v>60321</v>
      </c>
      <c r="E52" s="145">
        <f>112771-60321</f>
        <v>52450</v>
      </c>
      <c r="F52" s="145">
        <f>153950-60321-52450</f>
        <v>41179</v>
      </c>
      <c r="G52" s="294">
        <f>218556-60321-52450-41179</f>
        <v>64606</v>
      </c>
      <c r="H52" s="145">
        <f t="shared" si="1"/>
        <v>218556</v>
      </c>
    </row>
    <row r="53" spans="2:8" ht="15.75">
      <c r="B53" s="228" t="s">
        <v>22</v>
      </c>
      <c r="C53" s="103" t="s">
        <v>53</v>
      </c>
      <c r="D53" s="145">
        <f>1923</f>
        <v>1923</v>
      </c>
      <c r="E53" s="145">
        <f>3246-1923</f>
        <v>1323</v>
      </c>
      <c r="F53" s="145">
        <f>4454-1923-1323</f>
        <v>1208</v>
      </c>
      <c r="G53" s="294">
        <f>5809-1923-1323-1208</f>
        <v>1355</v>
      </c>
      <c r="H53" s="145">
        <f t="shared" si="1"/>
        <v>5809</v>
      </c>
    </row>
    <row r="54" spans="2:8" ht="15.75">
      <c r="B54" s="228" t="s">
        <v>16</v>
      </c>
      <c r="C54" s="103" t="s">
        <v>54</v>
      </c>
      <c r="D54" s="145">
        <f>36073</f>
        <v>36073</v>
      </c>
      <c r="E54" s="145">
        <f>65566-36073</f>
        <v>29493</v>
      </c>
      <c r="F54" s="145">
        <f>89550-36073-29493</f>
        <v>23984</v>
      </c>
      <c r="G54" s="294">
        <f>124816-36073-29493-23984</f>
        <v>35266</v>
      </c>
      <c r="H54" s="145">
        <f t="shared" si="1"/>
        <v>124816</v>
      </c>
    </row>
    <row r="55" spans="2:8" ht="15.75">
      <c r="B55" s="228" t="s">
        <v>16</v>
      </c>
      <c r="C55" s="103" t="s">
        <v>55</v>
      </c>
      <c r="D55" s="145">
        <f>159574</f>
        <v>159574</v>
      </c>
      <c r="E55" s="145">
        <f>259512-159574</f>
        <v>99938</v>
      </c>
      <c r="F55" s="145">
        <f>323060-159574-99938</f>
        <v>63548</v>
      </c>
      <c r="G55" s="294">
        <f>407114-159574-99938-63548</f>
        <v>84054</v>
      </c>
      <c r="H55" s="145">
        <f t="shared" si="1"/>
        <v>407114</v>
      </c>
    </row>
    <row r="56" spans="2:8" ht="15.75">
      <c r="B56" s="228" t="s">
        <v>16</v>
      </c>
      <c r="C56" s="103" t="s">
        <v>56</v>
      </c>
      <c r="D56" s="145">
        <f>302594</f>
        <v>302594</v>
      </c>
      <c r="E56" s="145">
        <f>426224-302594</f>
        <v>123630</v>
      </c>
      <c r="F56" s="145">
        <f>660008-302594-123630</f>
        <v>233784</v>
      </c>
      <c r="G56" s="294">
        <f>764183.05-302594-123630-233784</f>
        <v>104175.05000000005</v>
      </c>
      <c r="H56" s="145">
        <f t="shared" si="1"/>
        <v>764183.05</v>
      </c>
    </row>
    <row r="57" spans="2:8" ht="15.75">
      <c r="B57" s="143">
        <v>0.05</v>
      </c>
      <c r="C57" s="103" t="s">
        <v>126</v>
      </c>
      <c r="D57" s="145">
        <v>0</v>
      </c>
      <c r="E57" s="145">
        <f>2061</f>
        <v>2061</v>
      </c>
      <c r="F57" s="145">
        <f>0</f>
        <v>0</v>
      </c>
      <c r="G57" s="294">
        <f>2050</f>
        <v>2050</v>
      </c>
      <c r="H57" s="145">
        <v>4111</v>
      </c>
    </row>
    <row r="58" spans="2:8" ht="15.75">
      <c r="B58" s="143">
        <v>0.05</v>
      </c>
      <c r="C58" s="103" t="s">
        <v>57</v>
      </c>
      <c r="D58" s="145">
        <f>86945</f>
        <v>86945</v>
      </c>
      <c r="E58" s="145">
        <f>192258-86945</f>
        <v>105313</v>
      </c>
      <c r="F58" s="145">
        <f>254172-86945-105313</f>
        <v>61914</v>
      </c>
      <c r="G58" s="294">
        <f>343926-86945-105313-61914</f>
        <v>89754</v>
      </c>
      <c r="H58" s="145">
        <f t="shared" si="1"/>
        <v>343926</v>
      </c>
    </row>
    <row r="59" spans="2:8" ht="15.75">
      <c r="B59" s="228" t="s">
        <v>16</v>
      </c>
      <c r="C59" s="103" t="s">
        <v>58</v>
      </c>
      <c r="D59" s="145">
        <f>292993</f>
        <v>292993</v>
      </c>
      <c r="E59" s="145">
        <f>529157-292993</f>
        <v>236164</v>
      </c>
      <c r="F59" s="145">
        <f>726736-292993-236164</f>
        <v>197579</v>
      </c>
      <c r="G59" s="294">
        <f>1079047-292993-236164-197579</f>
        <v>352311</v>
      </c>
      <c r="H59" s="145">
        <f t="shared" si="1"/>
        <v>1079047</v>
      </c>
    </row>
    <row r="60" spans="2:8" ht="15.75">
      <c r="B60" s="232">
        <v>2.5</v>
      </c>
      <c r="C60" s="103" t="s">
        <v>145</v>
      </c>
      <c r="D60" s="145">
        <f>163613</f>
        <v>163613</v>
      </c>
      <c r="E60" s="145">
        <f>303977-163613</f>
        <v>140364</v>
      </c>
      <c r="F60" s="145">
        <f>428602-163613-140364</f>
        <v>124625</v>
      </c>
      <c r="G60" s="294">
        <f>506990.21-163613-140364-124625</f>
        <v>78388.210000000021</v>
      </c>
      <c r="H60" s="145">
        <f t="shared" si="1"/>
        <v>506990.21</v>
      </c>
    </row>
    <row r="61" spans="2:8" ht="15.75">
      <c r="B61" s="233" t="s">
        <v>16</v>
      </c>
      <c r="C61" s="103" t="s">
        <v>59</v>
      </c>
      <c r="D61" s="145">
        <f>512835</f>
        <v>512835</v>
      </c>
      <c r="E61" s="145">
        <f>821009-512835</f>
        <v>308174</v>
      </c>
      <c r="F61" s="145">
        <f>1199465-512835-308174</f>
        <v>378456</v>
      </c>
      <c r="G61" s="294">
        <f>1473140-512835-308174-378456</f>
        <v>273675</v>
      </c>
      <c r="H61" s="145">
        <f t="shared" si="1"/>
        <v>1473140</v>
      </c>
    </row>
    <row r="62" spans="2:8" ht="15.75">
      <c r="B62" s="228" t="s">
        <v>16</v>
      </c>
      <c r="C62" s="103" t="s">
        <v>60</v>
      </c>
      <c r="D62" s="145">
        <f>73662</f>
        <v>73662</v>
      </c>
      <c r="E62" s="145">
        <f>114585-73662</f>
        <v>40923</v>
      </c>
      <c r="F62" s="145">
        <f>138430-73662-40923</f>
        <v>23845</v>
      </c>
      <c r="G62" s="294">
        <f>184459-73662-40923-23845</f>
        <v>46029</v>
      </c>
      <c r="H62" s="145">
        <f t="shared" si="1"/>
        <v>184459</v>
      </c>
    </row>
    <row r="63" spans="2:8" ht="15.75">
      <c r="B63" s="143">
        <v>0.05</v>
      </c>
      <c r="C63" s="234" t="s">
        <v>78</v>
      </c>
      <c r="D63" s="145">
        <f>2526712</f>
        <v>2526712</v>
      </c>
      <c r="E63" s="145">
        <f>4652209-2526712</f>
        <v>2125497</v>
      </c>
      <c r="F63" s="145">
        <f>5876942-2526712-2125497</f>
        <v>1224733</v>
      </c>
      <c r="G63" s="294">
        <f>7721046-2526712-2125497-1224733</f>
        <v>1844104</v>
      </c>
      <c r="H63" s="145">
        <f t="shared" si="1"/>
        <v>7721046</v>
      </c>
    </row>
    <row r="64" spans="2:8" ht="15.75">
      <c r="B64" s="143">
        <v>0.02</v>
      </c>
      <c r="C64" s="234" t="s">
        <v>140</v>
      </c>
      <c r="D64" s="145">
        <f>1010685</f>
        <v>1010685</v>
      </c>
      <c r="E64" s="145">
        <f>1860884-1010685</f>
        <v>850199</v>
      </c>
      <c r="F64" s="145">
        <f>2350777-1010685-850199</f>
        <v>489893</v>
      </c>
      <c r="G64" s="294">
        <f>3088418-1010685-850199-489893</f>
        <v>737641</v>
      </c>
      <c r="H64" s="145">
        <f t="shared" si="1"/>
        <v>3088418</v>
      </c>
    </row>
    <row r="65" spans="2:8" ht="15.75">
      <c r="B65" s="143">
        <v>0.05</v>
      </c>
      <c r="C65" s="103" t="s">
        <v>61</v>
      </c>
      <c r="D65" s="145">
        <f>198640</f>
        <v>198640</v>
      </c>
      <c r="E65" s="145">
        <f>344090-198640</f>
        <v>145450</v>
      </c>
      <c r="F65" s="145">
        <f>453686-198640-145450</f>
        <v>109596</v>
      </c>
      <c r="G65" s="294">
        <f>625501-198640-145450-109596</f>
        <v>171815</v>
      </c>
      <c r="H65" s="145">
        <f t="shared" si="1"/>
        <v>625501</v>
      </c>
    </row>
    <row r="66" spans="2:8" ht="15.75">
      <c r="B66" s="228" t="s">
        <v>16</v>
      </c>
      <c r="C66" s="103" t="s">
        <v>62</v>
      </c>
      <c r="D66" s="145">
        <f>67132</f>
        <v>67132</v>
      </c>
      <c r="E66" s="145">
        <f>119713-67132</f>
        <v>52581</v>
      </c>
      <c r="F66" s="145">
        <f>165305-67132-52581</f>
        <v>45592</v>
      </c>
      <c r="G66" s="294">
        <f>258881-67132-52581-45592</f>
        <v>93576</v>
      </c>
      <c r="H66" s="145">
        <f t="shared" si="1"/>
        <v>258881</v>
      </c>
    </row>
    <row r="67" spans="2:8" ht="15.75">
      <c r="B67" s="143">
        <v>0.05</v>
      </c>
      <c r="C67" s="103" t="s">
        <v>63</v>
      </c>
      <c r="D67" s="145">
        <v>97594</v>
      </c>
      <c r="E67" s="145">
        <f>222547-97594</f>
        <v>124953</v>
      </c>
      <c r="F67" s="282">
        <v>105987</v>
      </c>
      <c r="G67" s="294">
        <f>426520-97594-124953-105987</f>
        <v>97986</v>
      </c>
      <c r="H67" s="145">
        <f>D67+E67+F67+G67</f>
        <v>426520</v>
      </c>
    </row>
    <row r="68" spans="2:8" ht="15.75">
      <c r="B68" s="228" t="s">
        <v>22</v>
      </c>
      <c r="C68" s="103" t="s">
        <v>64</v>
      </c>
      <c r="D68" s="145">
        <f>1821</f>
        <v>1821</v>
      </c>
      <c r="E68" s="145">
        <f>3749-1821</f>
        <v>1928</v>
      </c>
      <c r="F68" s="145">
        <f>4777-1821-1928</f>
        <v>1028</v>
      </c>
      <c r="G68" s="294">
        <f>6606-1821-1928-1028</f>
        <v>1829</v>
      </c>
      <c r="H68" s="145">
        <f t="shared" si="1"/>
        <v>6606</v>
      </c>
    </row>
    <row r="69" spans="2:8" ht="15.75">
      <c r="B69" s="143">
        <v>0.05</v>
      </c>
      <c r="C69" s="103" t="s">
        <v>65</v>
      </c>
      <c r="D69" s="145">
        <f>380897</f>
        <v>380897</v>
      </c>
      <c r="E69" s="145">
        <f>686207-380897</f>
        <v>305310</v>
      </c>
      <c r="F69" s="145">
        <f>934713-380897-305310</f>
        <v>248506</v>
      </c>
      <c r="G69" s="294">
        <f>1186074-380897-305310-248506</f>
        <v>251361</v>
      </c>
      <c r="H69" s="145">
        <f t="shared" si="1"/>
        <v>1186074</v>
      </c>
    </row>
    <row r="70" spans="2:8" ht="15.75">
      <c r="B70" s="230" t="s">
        <v>16</v>
      </c>
      <c r="C70" s="103" t="s">
        <v>66</v>
      </c>
      <c r="D70" s="145">
        <f>31840</f>
        <v>31840</v>
      </c>
      <c r="E70" s="145">
        <f>47073-31840</f>
        <v>15233</v>
      </c>
      <c r="F70" s="145">
        <f>227025-31840-15233</f>
        <v>179952</v>
      </c>
      <c r="G70" s="294">
        <f>318343-31840-15233-179952</f>
        <v>91318</v>
      </c>
      <c r="H70" s="145">
        <f t="shared" si="1"/>
        <v>318343</v>
      </c>
    </row>
    <row r="71" spans="2:8" ht="15.75">
      <c r="B71" s="228" t="s">
        <v>16</v>
      </c>
      <c r="C71" s="103" t="s">
        <v>67</v>
      </c>
      <c r="D71" s="145">
        <v>67110</v>
      </c>
      <c r="E71" s="145">
        <f>134297-67110</f>
        <v>67187</v>
      </c>
      <c r="F71" s="145">
        <f>197493-67110-67187</f>
        <v>63196</v>
      </c>
      <c r="G71" s="294">
        <f>267072-67110-67187-63196</f>
        <v>69579</v>
      </c>
      <c r="H71" s="145">
        <f t="shared" si="1"/>
        <v>267072</v>
      </c>
    </row>
    <row r="72" spans="2:8" ht="15.75">
      <c r="B72" s="143">
        <v>0.01</v>
      </c>
      <c r="C72" s="103" t="s">
        <v>147</v>
      </c>
      <c r="D72" s="145">
        <f>13437</f>
        <v>13437</v>
      </c>
      <c r="E72" s="145">
        <f>26369-13437</f>
        <v>12932</v>
      </c>
      <c r="F72" s="145">
        <f>39009-13437-12932</f>
        <v>12640</v>
      </c>
      <c r="G72" s="294">
        <f>53193-13437-12932-12640</f>
        <v>14184</v>
      </c>
      <c r="H72" s="145">
        <f t="shared" si="1"/>
        <v>53193</v>
      </c>
    </row>
    <row r="73" spans="2:8" ht="15.75">
      <c r="B73" s="228" t="s">
        <v>16</v>
      </c>
      <c r="C73" s="103" t="s">
        <v>68</v>
      </c>
      <c r="D73" s="145">
        <f>186204</f>
        <v>186204</v>
      </c>
      <c r="E73" s="145">
        <f>331777-186204</f>
        <v>145573</v>
      </c>
      <c r="F73" s="145">
        <f>444242-186204-145573</f>
        <v>112465</v>
      </c>
      <c r="G73" s="294">
        <f>571634-186204-145573-112465</f>
        <v>127392</v>
      </c>
      <c r="H73" s="145">
        <f t="shared" si="1"/>
        <v>571634</v>
      </c>
    </row>
    <row r="74" spans="2:8" ht="15.75">
      <c r="B74" s="230" t="s">
        <v>16</v>
      </c>
      <c r="C74" s="103" t="s">
        <v>81</v>
      </c>
      <c r="D74" s="145">
        <f>13923</f>
        <v>13923</v>
      </c>
      <c r="E74" s="145">
        <f>28109-13923</f>
        <v>14186</v>
      </c>
      <c r="F74" s="145">
        <f>43973-13923-14186</f>
        <v>15864</v>
      </c>
      <c r="G74" s="294">
        <f>62127-13923-14186-15864</f>
        <v>18154</v>
      </c>
      <c r="H74" s="145">
        <f t="shared" si="1"/>
        <v>62127</v>
      </c>
    </row>
    <row r="75" spans="2:8" ht="15.75">
      <c r="B75" s="228" t="s">
        <v>22</v>
      </c>
      <c r="C75" s="103" t="s">
        <v>69</v>
      </c>
      <c r="D75" s="145">
        <v>830</v>
      </c>
      <c r="E75" s="145">
        <f>1424-830</f>
        <v>594</v>
      </c>
      <c r="F75" s="145">
        <f>1958-830-594</f>
        <v>534</v>
      </c>
      <c r="G75" s="294">
        <f>2586-830-594-534</f>
        <v>628</v>
      </c>
      <c r="H75" s="145">
        <f t="shared" si="1"/>
        <v>2586</v>
      </c>
    </row>
    <row r="76" spans="2:8">
      <c r="B76" s="235"/>
      <c r="C76" s="236"/>
      <c r="D76" s="237"/>
      <c r="E76" s="237"/>
      <c r="F76" s="237"/>
      <c r="G76" s="297"/>
    </row>
    <row r="77" spans="2:8" ht="15.75">
      <c r="B77" s="238"/>
      <c r="C77" s="239" t="s">
        <v>70</v>
      </c>
      <c r="D77" s="146">
        <f>SUM(D9:D76)</f>
        <v>13385311</v>
      </c>
      <c r="E77" s="146">
        <f>SUM(E9:E76)</f>
        <v>11029275.039999999</v>
      </c>
      <c r="F77" s="146">
        <f>SUM(F9:F76)</f>
        <v>9580618.0399999991</v>
      </c>
      <c r="G77" s="298">
        <f>SUM(G9:G76)</f>
        <v>11929179.26</v>
      </c>
      <c r="H77" s="225">
        <f>SUM(H9:H76)</f>
        <v>45924383.340000004</v>
      </c>
    </row>
    <row r="78" spans="2:8">
      <c r="B78" s="151" t="s">
        <v>0</v>
      </c>
      <c r="H78" s="225">
        <f>D77+E77+F77+G77</f>
        <v>45924383.339999996</v>
      </c>
    </row>
    <row r="79" spans="2:8">
      <c r="B79" s="285" t="s">
        <v>155</v>
      </c>
      <c r="C79" s="285"/>
      <c r="D79" s="285"/>
      <c r="E79" s="285"/>
      <c r="F79" s="285"/>
      <c r="G79" s="285"/>
      <c r="H79" s="285"/>
    </row>
  </sheetData>
  <mergeCells count="6">
    <mergeCell ref="B79:H79"/>
    <mergeCell ref="B2:H2"/>
    <mergeCell ref="B3:H3"/>
    <mergeCell ref="B4:H4"/>
    <mergeCell ref="B6:B8"/>
    <mergeCell ref="C6:C8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20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7734375" defaultRowHeight="14.25"/>
  <cols>
    <col min="1" max="1" width="6.44140625" style="213" customWidth="1"/>
    <col min="2" max="2" width="29.109375" style="213" customWidth="1"/>
    <col min="3" max="3" width="11.6640625" style="213" customWidth="1"/>
    <col min="4" max="4" width="13.5546875" style="213" customWidth="1"/>
    <col min="5" max="5" width="13.21875" style="213" customWidth="1"/>
    <col min="6" max="6" width="12.77734375" style="213" customWidth="1"/>
    <col min="7" max="7" width="14.77734375" style="213" customWidth="1"/>
    <col min="8" max="8" width="8.77734375" style="213"/>
    <col min="9" max="10" width="9.6640625" style="213" bestFit="1" customWidth="1"/>
    <col min="11" max="16384" width="8.77734375" style="213"/>
  </cols>
  <sheetData>
    <row r="1" spans="1:12" s="155" customFormat="1">
      <c r="A1" s="152" t="s">
        <v>0</v>
      </c>
      <c r="B1" s="153"/>
      <c r="C1" s="153" t="s">
        <v>1</v>
      </c>
      <c r="D1" s="153"/>
      <c r="E1" s="153"/>
      <c r="F1" s="153"/>
      <c r="G1" s="154">
        <f ca="1">NOW()</f>
        <v>43494.548466203705</v>
      </c>
    </row>
    <row r="2" spans="1:12" s="155" customFormat="1">
      <c r="A2" s="156" t="s">
        <v>0</v>
      </c>
      <c r="C2" s="155" t="s">
        <v>107</v>
      </c>
      <c r="G2" s="157"/>
    </row>
    <row r="3" spans="1:12" s="155" customFormat="1">
      <c r="A3" s="156" t="s">
        <v>0</v>
      </c>
      <c r="C3" s="155" t="s">
        <v>110</v>
      </c>
      <c r="G3" s="157"/>
    </row>
    <row r="4" spans="1:12" s="155" customFormat="1">
      <c r="A4" s="158" t="s">
        <v>2</v>
      </c>
      <c r="B4" s="159" t="s">
        <v>2</v>
      </c>
      <c r="C4" s="159" t="s">
        <v>2</v>
      </c>
      <c r="D4" s="159" t="s">
        <v>2</v>
      </c>
      <c r="E4" s="159" t="s">
        <v>2</v>
      </c>
      <c r="F4" s="159" t="s">
        <v>2</v>
      </c>
      <c r="G4" s="160" t="s">
        <v>2</v>
      </c>
    </row>
    <row r="5" spans="1:12" s="155" customFormat="1">
      <c r="A5" s="156"/>
      <c r="B5" s="161"/>
      <c r="C5" s="162" t="s">
        <v>3</v>
      </c>
      <c r="D5" s="162" t="s">
        <v>4</v>
      </c>
      <c r="E5" s="162" t="s">
        <v>5</v>
      </c>
      <c r="F5" s="162" t="s">
        <v>6</v>
      </c>
      <c r="G5" s="163"/>
    </row>
    <row r="6" spans="1:12" s="155" customFormat="1">
      <c r="A6" s="156"/>
      <c r="B6" s="161"/>
      <c r="C6" s="162" t="s">
        <v>7</v>
      </c>
      <c r="D6" s="162" t="s">
        <v>8</v>
      </c>
      <c r="E6" s="162" t="s">
        <v>7</v>
      </c>
      <c r="F6" s="162" t="s">
        <v>72</v>
      </c>
      <c r="G6" s="164" t="s">
        <v>9</v>
      </c>
    </row>
    <row r="7" spans="1:12" s="155" customFormat="1">
      <c r="A7" s="165"/>
      <c r="B7" s="166" t="s">
        <v>10</v>
      </c>
      <c r="C7" s="167" t="s">
        <v>11</v>
      </c>
      <c r="D7" s="167" t="s">
        <v>12</v>
      </c>
      <c r="E7" s="168" t="s">
        <v>13</v>
      </c>
      <c r="F7" s="167" t="s">
        <v>14</v>
      </c>
      <c r="G7" s="169" t="s">
        <v>15</v>
      </c>
    </row>
    <row r="8" spans="1:12" s="155" customFormat="1" ht="15">
      <c r="A8" s="170" t="s">
        <v>16</v>
      </c>
      <c r="B8" s="171" t="s">
        <v>17</v>
      </c>
      <c r="C8" s="172">
        <v>127395</v>
      </c>
      <c r="D8" s="172">
        <f>243028.85-C8</f>
        <v>115633.85</v>
      </c>
      <c r="E8" s="172">
        <f>348028.85-D8-C8</f>
        <v>104999.99999999997</v>
      </c>
      <c r="F8" s="172">
        <f>470836-E8-D8-C8</f>
        <v>122807.15</v>
      </c>
      <c r="G8" s="173">
        <f>(C8+D8+E8+F8)</f>
        <v>470836</v>
      </c>
    </row>
    <row r="9" spans="1:12" s="178" customFormat="1" ht="15">
      <c r="A9" s="174">
        <v>0.05</v>
      </c>
      <c r="B9" s="175" t="s">
        <v>77</v>
      </c>
      <c r="C9" s="176">
        <v>2933583</v>
      </c>
      <c r="D9" s="176">
        <f>5727295-C9</f>
        <v>2793712</v>
      </c>
      <c r="E9" s="176">
        <f>7667308-D9-C9</f>
        <v>1940013</v>
      </c>
      <c r="F9" s="176">
        <f>9206720-E9-D9-C9</f>
        <v>1539412</v>
      </c>
      <c r="G9" s="177">
        <f>(C9+D9+E9+F9)</f>
        <v>9206720</v>
      </c>
    </row>
    <row r="10" spans="1:12" s="178" customFormat="1" ht="15">
      <c r="A10" s="174">
        <v>0.01</v>
      </c>
      <c r="B10" s="175" t="s">
        <v>80</v>
      </c>
      <c r="C10" s="176">
        <v>586717</v>
      </c>
      <c r="D10" s="176">
        <f>1145459-C10</f>
        <v>558742</v>
      </c>
      <c r="E10" s="176">
        <f>1533462-D10-C10</f>
        <v>388003</v>
      </c>
      <c r="F10" s="176">
        <f>1842179-E10-D110-C10</f>
        <v>867459</v>
      </c>
      <c r="G10" s="177">
        <f>(C10+D10+E10+F10)</f>
        <v>2400921</v>
      </c>
    </row>
    <row r="11" spans="1:12" s="155" customFormat="1" ht="15">
      <c r="A11" s="170" t="s">
        <v>16</v>
      </c>
      <c r="B11" s="179" t="s">
        <v>18</v>
      </c>
      <c r="C11" s="172">
        <v>31264</v>
      </c>
      <c r="D11" s="172">
        <f>78931-C11</f>
        <v>47667</v>
      </c>
      <c r="E11" s="180">
        <v>0</v>
      </c>
      <c r="F11" s="176">
        <f>261111</f>
        <v>261111</v>
      </c>
      <c r="G11" s="181">
        <f>(C11+D11+E11+F11)</f>
        <v>340042</v>
      </c>
      <c r="H11" s="155" t="s">
        <v>0</v>
      </c>
      <c r="I11" s="182"/>
      <c r="J11" s="155" t="s">
        <v>0</v>
      </c>
      <c r="L11" s="155" t="s">
        <v>0</v>
      </c>
    </row>
    <row r="12" spans="1:12" s="155" customFormat="1" ht="15">
      <c r="A12" s="170" t="s">
        <v>16</v>
      </c>
      <c r="B12" s="179" t="s">
        <v>19</v>
      </c>
      <c r="C12" s="176">
        <v>67460</v>
      </c>
      <c r="D12" s="176">
        <f>142659-C12</f>
        <v>75199</v>
      </c>
      <c r="E12" s="172">
        <f>210403-D12-C12</f>
        <v>67744</v>
      </c>
      <c r="F12" s="172">
        <f>281865-E12-D12-C12</f>
        <v>71462</v>
      </c>
      <c r="G12" s="173">
        <f>(C12+D12+E12+F12)</f>
        <v>281865</v>
      </c>
    </row>
    <row r="13" spans="1:12" s="155" customFormat="1" ht="15">
      <c r="A13" s="170" t="s">
        <v>16</v>
      </c>
      <c r="B13" s="179" t="s">
        <v>20</v>
      </c>
      <c r="C13" s="176">
        <v>2366.7199999999998</v>
      </c>
      <c r="D13" s="172">
        <f>5191.17-C13</f>
        <v>2824.4500000000003</v>
      </c>
      <c r="E13" s="172">
        <f>6991.41-D13-C13</f>
        <v>1800.2399999999993</v>
      </c>
      <c r="F13" s="172">
        <f>10497-E13-D13-C13</f>
        <v>3505.5899999999997</v>
      </c>
      <c r="G13" s="173">
        <f>SUM(C13:F13)</f>
        <v>10497</v>
      </c>
    </row>
    <row r="14" spans="1:12" s="155" customFormat="1" ht="15">
      <c r="A14" s="183">
        <v>0.04</v>
      </c>
      <c r="B14" s="179" t="s">
        <v>21</v>
      </c>
      <c r="C14" s="172">
        <v>12430.31</v>
      </c>
      <c r="D14" s="172">
        <f>20708-C14</f>
        <v>8277.69</v>
      </c>
      <c r="E14" s="172">
        <f>27193-D14-C14</f>
        <v>6484.9999999999982</v>
      </c>
      <c r="F14" s="172">
        <f>42927-E14-D14-C14</f>
        <v>15733.999999999998</v>
      </c>
      <c r="G14" s="173">
        <f>(C14+D14+E14+F14)</f>
        <v>42927</v>
      </c>
    </row>
    <row r="15" spans="1:12" s="155" customFormat="1" ht="15">
      <c r="A15" s="170" t="s">
        <v>22</v>
      </c>
      <c r="B15" s="179" t="s">
        <v>23</v>
      </c>
      <c r="C15" s="172">
        <v>32371</v>
      </c>
      <c r="D15" s="172">
        <v>28408</v>
      </c>
      <c r="E15" s="176">
        <v>16733</v>
      </c>
      <c r="F15" s="172">
        <v>24399</v>
      </c>
      <c r="G15" s="173">
        <f>(C15+D15+E15+F15)</f>
        <v>101911</v>
      </c>
    </row>
    <row r="16" spans="1:12" s="155" customFormat="1" ht="15">
      <c r="A16" s="183">
        <v>0.03</v>
      </c>
      <c r="B16" s="179" t="s">
        <v>74</v>
      </c>
      <c r="C16" s="172">
        <v>16132</v>
      </c>
      <c r="D16" s="176">
        <f>31521-C16</f>
        <v>15389</v>
      </c>
      <c r="E16" s="172">
        <f>39977-D16-C16</f>
        <v>8456</v>
      </c>
      <c r="F16" s="176">
        <f>52732-E16-D16-C16</f>
        <v>12755</v>
      </c>
      <c r="G16" s="173">
        <f>C16+D16+E16+F16</f>
        <v>52732</v>
      </c>
    </row>
    <row r="17" spans="1:8" s="155" customFormat="1" ht="15">
      <c r="A17" s="183">
        <v>0.03</v>
      </c>
      <c r="B17" s="179" t="s">
        <v>75</v>
      </c>
      <c r="C17" s="176">
        <v>2074.3000000000002</v>
      </c>
      <c r="D17" s="172">
        <f>5329.72-C17</f>
        <v>3255.42</v>
      </c>
      <c r="E17" s="172">
        <f>8592.61-D17-C17</f>
        <v>3262.8900000000003</v>
      </c>
      <c r="F17" s="172">
        <v>5035.3599999999997</v>
      </c>
      <c r="G17" s="173">
        <f>(C17+D17+E17+F17)</f>
        <v>13627.970000000001</v>
      </c>
    </row>
    <row r="18" spans="1:8" s="155" customFormat="1" ht="15">
      <c r="A18" s="183">
        <v>0.05</v>
      </c>
      <c r="B18" s="179" t="s">
        <v>24</v>
      </c>
      <c r="C18" s="172">
        <v>230586</v>
      </c>
      <c r="D18" s="172">
        <f>415820-C18</f>
        <v>185234</v>
      </c>
      <c r="E18" s="176">
        <f>598647-D18-C18</f>
        <v>182827</v>
      </c>
      <c r="F18" s="176">
        <f>849821-E18-D18-C18</f>
        <v>251174</v>
      </c>
      <c r="G18" s="173">
        <f>C18+D18+E18+F18</f>
        <v>849821</v>
      </c>
    </row>
    <row r="19" spans="1:8" s="155" customFormat="1" ht="15">
      <c r="A19" s="170" t="s">
        <v>22</v>
      </c>
      <c r="B19" s="179" t="s">
        <v>25</v>
      </c>
      <c r="C19" s="176">
        <v>1851</v>
      </c>
      <c r="D19" s="172">
        <f>3333-C19</f>
        <v>1482</v>
      </c>
      <c r="E19" s="176">
        <f>4752-D19-C19</f>
        <v>1419</v>
      </c>
      <c r="F19" s="176">
        <f>6183-E19-D19-C19</f>
        <v>1431</v>
      </c>
      <c r="G19" s="173">
        <f t="shared" ref="G19:G30" si="0">(C19+D19+E19+F19)</f>
        <v>6183</v>
      </c>
      <c r="H19" s="155" t="s">
        <v>0</v>
      </c>
    </row>
    <row r="20" spans="1:8" s="155" customFormat="1" ht="15">
      <c r="A20" s="183">
        <v>0.04</v>
      </c>
      <c r="B20" s="179" t="s">
        <v>26</v>
      </c>
      <c r="C20" s="172">
        <v>35720</v>
      </c>
      <c r="D20" s="172">
        <f>57370-C20</f>
        <v>21650</v>
      </c>
      <c r="E20" s="176">
        <f>67464-D20-C20</f>
        <v>10094</v>
      </c>
      <c r="F20" s="172">
        <f>70707-E20-D20-C20</f>
        <v>3243</v>
      </c>
      <c r="G20" s="173">
        <f t="shared" si="0"/>
        <v>70707</v>
      </c>
    </row>
    <row r="21" spans="1:8" s="155" customFormat="1" ht="15">
      <c r="A21" s="170" t="s">
        <v>27</v>
      </c>
      <c r="B21" s="179" t="s">
        <v>28</v>
      </c>
      <c r="C21" s="172">
        <v>9456</v>
      </c>
      <c r="D21" s="172">
        <f>13551-C21</f>
        <v>4095</v>
      </c>
      <c r="E21" s="172">
        <f>15189-D21-C21</f>
        <v>1638</v>
      </c>
      <c r="F21" s="172">
        <f>18801-E21-D21-C21</f>
        <v>3612</v>
      </c>
      <c r="G21" s="173">
        <f t="shared" si="0"/>
        <v>18801</v>
      </c>
    </row>
    <row r="22" spans="1:8" s="155" customFormat="1" ht="15">
      <c r="A22" s="183">
        <v>0.05</v>
      </c>
      <c r="B22" s="179" t="s">
        <v>29</v>
      </c>
      <c r="C22" s="172">
        <v>50676.41</v>
      </c>
      <c r="D22" s="172">
        <f>78961.71-C22</f>
        <v>28285.300000000003</v>
      </c>
      <c r="E22" s="172">
        <f>95289.04-D22-C22</f>
        <v>16327.329999999987</v>
      </c>
      <c r="F22" s="172">
        <f>117271.98-E22-D22-C22</f>
        <v>21982.940000000002</v>
      </c>
      <c r="G22" s="173">
        <f t="shared" si="0"/>
        <v>117271.98</v>
      </c>
    </row>
    <row r="23" spans="1:8" s="155" customFormat="1" ht="15">
      <c r="A23" s="183">
        <v>0.05</v>
      </c>
      <c r="B23" s="179" t="s">
        <v>76</v>
      </c>
      <c r="C23" s="172">
        <v>46083</v>
      </c>
      <c r="D23" s="172">
        <f>79353-C23</f>
        <v>33270</v>
      </c>
      <c r="E23" s="172">
        <f>98701-D23-C23</f>
        <v>19348</v>
      </c>
      <c r="F23" s="172">
        <f>124094-E23-D23-C23</f>
        <v>25393</v>
      </c>
      <c r="G23" s="173">
        <f t="shared" si="0"/>
        <v>124094</v>
      </c>
    </row>
    <row r="24" spans="1:8" s="155" customFormat="1" ht="15">
      <c r="A24" s="183">
        <v>0.05</v>
      </c>
      <c r="B24" s="179" t="s">
        <v>30</v>
      </c>
      <c r="C24" s="172">
        <v>149775.53</v>
      </c>
      <c r="D24" s="172">
        <v>140344.34</v>
      </c>
      <c r="E24" s="172">
        <v>106598.06</v>
      </c>
      <c r="F24" s="172">
        <f>537616.34-E24-D24-C24</f>
        <v>140898.40999999995</v>
      </c>
      <c r="G24" s="173">
        <f t="shared" si="0"/>
        <v>537616.34</v>
      </c>
    </row>
    <row r="25" spans="1:8" s="155" customFormat="1" ht="15">
      <c r="A25" s="183">
        <v>0.05</v>
      </c>
      <c r="B25" s="179" t="s">
        <v>31</v>
      </c>
      <c r="C25" s="172">
        <v>680</v>
      </c>
      <c r="D25" s="176">
        <f>1702-C25</f>
        <v>1022</v>
      </c>
      <c r="E25" s="176">
        <f>2555-D25-C25</f>
        <v>853</v>
      </c>
      <c r="F25" s="176">
        <f>3385-E25-D25-C25</f>
        <v>830</v>
      </c>
      <c r="G25" s="173">
        <f t="shared" si="0"/>
        <v>3385</v>
      </c>
      <c r="H25" s="155" t="s">
        <v>0</v>
      </c>
    </row>
    <row r="26" spans="1:8" s="155" customFormat="1" ht="15">
      <c r="A26" s="184">
        <v>3.5000000000000003E-2</v>
      </c>
      <c r="B26" s="179" t="s">
        <v>73</v>
      </c>
      <c r="C26" s="172">
        <v>1828</v>
      </c>
      <c r="D26" s="176">
        <f>3248-C26</f>
        <v>1420</v>
      </c>
      <c r="E26" s="176">
        <f>4288-D26-C26</f>
        <v>1040</v>
      </c>
      <c r="F26" s="176">
        <f>5889-E26-D26-C26</f>
        <v>1601</v>
      </c>
      <c r="G26" s="173">
        <f t="shared" si="0"/>
        <v>5889</v>
      </c>
    </row>
    <row r="27" spans="1:8" s="155" customFormat="1" ht="15">
      <c r="A27" s="170" t="s">
        <v>22</v>
      </c>
      <c r="B27" s="179" t="s">
        <v>32</v>
      </c>
      <c r="C27" s="176">
        <v>4265</v>
      </c>
      <c r="D27" s="172">
        <f>7642-C27</f>
        <v>3377</v>
      </c>
      <c r="E27" s="176">
        <v>5359</v>
      </c>
      <c r="F27" s="176">
        <v>5889</v>
      </c>
      <c r="G27" s="173">
        <f t="shared" si="0"/>
        <v>18890</v>
      </c>
      <c r="H27" s="155" t="s">
        <v>0</v>
      </c>
    </row>
    <row r="28" spans="1:8" s="155" customFormat="1" ht="15">
      <c r="A28" s="185" t="s">
        <v>16</v>
      </c>
      <c r="B28" s="186" t="s">
        <v>79</v>
      </c>
      <c r="C28" s="187">
        <v>88772</v>
      </c>
      <c r="D28" s="172">
        <f>170005-C28</f>
        <v>81233</v>
      </c>
      <c r="E28" s="176">
        <f>273286-D28-C28</f>
        <v>103281</v>
      </c>
      <c r="F28" s="172">
        <f>379071-E28-D28-C28</f>
        <v>105785</v>
      </c>
      <c r="G28" s="173">
        <f t="shared" si="0"/>
        <v>379071</v>
      </c>
    </row>
    <row r="29" spans="1:8" s="155" customFormat="1" ht="15">
      <c r="A29" s="170" t="s">
        <v>22</v>
      </c>
      <c r="B29" s="179" t="s">
        <v>33</v>
      </c>
      <c r="C29" s="172">
        <v>18337</v>
      </c>
      <c r="D29" s="172">
        <f>25256-C29</f>
        <v>6919</v>
      </c>
      <c r="E29" s="172">
        <f>30768-D29-C29</f>
        <v>5512</v>
      </c>
      <c r="F29" s="172">
        <f>36033-E29-D29-C29</f>
        <v>5265</v>
      </c>
      <c r="G29" s="173">
        <f t="shared" si="0"/>
        <v>36033</v>
      </c>
    </row>
    <row r="30" spans="1:8" s="155" customFormat="1" ht="15">
      <c r="A30" s="183">
        <v>0.05</v>
      </c>
      <c r="B30" s="179" t="s">
        <v>71</v>
      </c>
      <c r="C30" s="172">
        <v>11434.06</v>
      </c>
      <c r="D30" s="172">
        <v>9016.8700000000008</v>
      </c>
      <c r="E30" s="176">
        <v>4464.25</v>
      </c>
      <c r="F30" s="172">
        <f>33406-E30-D30-C30</f>
        <v>8490.8199999999979</v>
      </c>
      <c r="G30" s="173">
        <f t="shared" si="0"/>
        <v>33406</v>
      </c>
    </row>
    <row r="31" spans="1:8" s="155" customFormat="1" ht="15">
      <c r="A31" s="183">
        <v>0.05</v>
      </c>
      <c r="B31" s="179" t="s">
        <v>34</v>
      </c>
      <c r="C31" s="172">
        <v>42002</v>
      </c>
      <c r="D31" s="176">
        <f>58098-C31</f>
        <v>16096</v>
      </c>
      <c r="E31" s="176">
        <f>67697-D31-C31</f>
        <v>9599</v>
      </c>
      <c r="F31" s="172" t="s">
        <v>139</v>
      </c>
      <c r="G31" s="173">
        <f>(C31+D31+E31)</f>
        <v>67697</v>
      </c>
    </row>
    <row r="32" spans="1:8" s="155" customFormat="1" ht="15.75">
      <c r="A32" s="170" t="s">
        <v>16</v>
      </c>
      <c r="B32" s="179" t="s">
        <v>35</v>
      </c>
      <c r="C32" s="188">
        <v>307329</v>
      </c>
      <c r="D32" s="172">
        <f>568951-C32</f>
        <v>261622</v>
      </c>
      <c r="E32" s="172">
        <f>776795-D32-C32</f>
        <v>207844</v>
      </c>
      <c r="F32" s="172">
        <f>1068354-E32-D32-C32</f>
        <v>291559</v>
      </c>
      <c r="G32" s="173">
        <f t="shared" ref="G32:G59" si="1">(C32+D32+E32+F32)</f>
        <v>1068354</v>
      </c>
    </row>
    <row r="33" spans="1:7" s="155" customFormat="1" ht="15">
      <c r="A33" s="170" t="s">
        <v>16</v>
      </c>
      <c r="B33" s="179" t="s">
        <v>36</v>
      </c>
      <c r="C33" s="172">
        <v>7649</v>
      </c>
      <c r="D33" s="172">
        <f>13070-C33</f>
        <v>5421</v>
      </c>
      <c r="E33" s="172">
        <f>16550-D33-C33</f>
        <v>3480</v>
      </c>
      <c r="F33" s="172">
        <f>21194-E33-C33-C33</f>
        <v>2416</v>
      </c>
      <c r="G33" s="173">
        <f t="shared" si="1"/>
        <v>18966</v>
      </c>
    </row>
    <row r="34" spans="1:7" s="155" customFormat="1" ht="15">
      <c r="A34" s="170" t="s">
        <v>16</v>
      </c>
      <c r="B34" s="179" t="s">
        <v>37</v>
      </c>
      <c r="C34" s="172">
        <v>335292</v>
      </c>
      <c r="D34" s="176">
        <f>603958-C34</f>
        <v>268666</v>
      </c>
      <c r="E34" s="176">
        <f>888093-D34-C34</f>
        <v>284135</v>
      </c>
      <c r="F34" s="172">
        <f>1177868-E34-D34-C34</f>
        <v>289775</v>
      </c>
      <c r="G34" s="173">
        <f t="shared" si="1"/>
        <v>1177868</v>
      </c>
    </row>
    <row r="35" spans="1:7" s="155" customFormat="1" ht="15">
      <c r="A35" s="170" t="s">
        <v>16</v>
      </c>
      <c r="B35" s="179" t="s">
        <v>38</v>
      </c>
      <c r="C35" s="172">
        <v>136477</v>
      </c>
      <c r="D35" s="172">
        <f>249360-C35</f>
        <v>112883</v>
      </c>
      <c r="E35" s="172">
        <f>333174-D35-C35</f>
        <v>83814</v>
      </c>
      <c r="F35" s="172">
        <f>428852-E35-D35-C35</f>
        <v>95678</v>
      </c>
      <c r="G35" s="173">
        <f t="shared" si="1"/>
        <v>428852</v>
      </c>
    </row>
    <row r="36" spans="1:7" s="155" customFormat="1" ht="15">
      <c r="A36" s="170" t="s">
        <v>22</v>
      </c>
      <c r="B36" s="179" t="s">
        <v>39</v>
      </c>
      <c r="C36" s="172">
        <v>21</v>
      </c>
      <c r="D36" s="172">
        <f>42.3-C36</f>
        <v>21.299999999999997</v>
      </c>
      <c r="E36" s="172">
        <f>55.95-D36-C36</f>
        <v>13.650000000000006</v>
      </c>
      <c r="F36" s="176">
        <v>4.5</v>
      </c>
      <c r="G36" s="173">
        <f t="shared" si="1"/>
        <v>60.45</v>
      </c>
    </row>
    <row r="37" spans="1:7" s="155" customFormat="1" ht="15">
      <c r="A37" s="183">
        <v>0.05</v>
      </c>
      <c r="B37" s="179" t="s">
        <v>40</v>
      </c>
      <c r="C37" s="172">
        <v>190644</v>
      </c>
      <c r="D37" s="172">
        <f>340494-C37</f>
        <v>149850</v>
      </c>
      <c r="E37" s="176">
        <f>572678-D37-C37</f>
        <v>232184</v>
      </c>
      <c r="F37" s="172">
        <f>795559-E37-D37-C37</f>
        <v>222881</v>
      </c>
      <c r="G37" s="173">
        <f t="shared" si="1"/>
        <v>795559</v>
      </c>
    </row>
    <row r="38" spans="1:7" s="155" customFormat="1" ht="15">
      <c r="A38" s="183">
        <v>0.03</v>
      </c>
      <c r="B38" s="179" t="s">
        <v>41</v>
      </c>
      <c r="C38" s="176">
        <v>649.94000000000005</v>
      </c>
      <c r="D38" s="172">
        <f>2306-C38</f>
        <v>1656.06</v>
      </c>
      <c r="E38" s="176">
        <f>4240-D38-C38</f>
        <v>1934</v>
      </c>
      <c r="F38" s="172">
        <v>3474</v>
      </c>
      <c r="G38" s="173">
        <f t="shared" si="1"/>
        <v>7714</v>
      </c>
    </row>
    <row r="39" spans="1:7" s="155" customFormat="1" ht="15">
      <c r="A39" s="170" t="s">
        <v>16</v>
      </c>
      <c r="B39" s="179" t="s">
        <v>42</v>
      </c>
      <c r="C39" s="172">
        <v>4248</v>
      </c>
      <c r="D39" s="172">
        <f>9249-C39</f>
        <v>5001</v>
      </c>
      <c r="E39" s="172">
        <f>10724-D39-C39</f>
        <v>1475</v>
      </c>
      <c r="F39" s="172">
        <f>14441-E39-D39-C39</f>
        <v>3717</v>
      </c>
      <c r="G39" s="173">
        <f t="shared" si="1"/>
        <v>14441</v>
      </c>
    </row>
    <row r="40" spans="1:7" s="155" customFormat="1" ht="15">
      <c r="A40" s="170" t="s">
        <v>16</v>
      </c>
      <c r="B40" s="179" t="s">
        <v>43</v>
      </c>
      <c r="C40" s="176">
        <v>429049</v>
      </c>
      <c r="D40" s="176">
        <f>907324-C40</f>
        <v>478275</v>
      </c>
      <c r="E40" s="172">
        <f>1324932-D40-C40</f>
        <v>417608</v>
      </c>
      <c r="F40" s="176">
        <f>1823429-E40-D40-C40</f>
        <v>498497</v>
      </c>
      <c r="G40" s="173">
        <f t="shared" si="1"/>
        <v>1823429</v>
      </c>
    </row>
    <row r="41" spans="1:7" s="155" customFormat="1" ht="15">
      <c r="A41" s="220">
        <v>2.5</v>
      </c>
      <c r="B41" s="179" t="s">
        <v>142</v>
      </c>
      <c r="C41" s="176">
        <v>290734</v>
      </c>
      <c r="D41" s="176">
        <f>696750-C41</f>
        <v>406016</v>
      </c>
      <c r="E41" s="172">
        <f>896017-D41-C41</f>
        <v>199267</v>
      </c>
      <c r="F41" s="176">
        <f>1234327-E41-D41-C41</f>
        <v>338310</v>
      </c>
      <c r="G41" s="173">
        <f t="shared" si="1"/>
        <v>1234327</v>
      </c>
    </row>
    <row r="42" spans="1:7" s="155" customFormat="1" ht="15">
      <c r="A42" s="170" t="s">
        <v>27</v>
      </c>
      <c r="B42" s="179" t="s">
        <v>44</v>
      </c>
      <c r="C42" s="172">
        <v>86635</v>
      </c>
      <c r="D42" s="172">
        <f>139980-C42</f>
        <v>53345</v>
      </c>
      <c r="E42" s="176">
        <f>180028-D42-C42</f>
        <v>40048</v>
      </c>
      <c r="F42" s="172">
        <f>254231-E42-D42-C42</f>
        <v>74203</v>
      </c>
      <c r="G42" s="173">
        <f t="shared" si="1"/>
        <v>254231</v>
      </c>
    </row>
    <row r="43" spans="1:7" s="155" customFormat="1" ht="15">
      <c r="A43" s="170" t="s">
        <v>22</v>
      </c>
      <c r="B43" s="179" t="s">
        <v>45</v>
      </c>
      <c r="C43" s="172">
        <v>3552</v>
      </c>
      <c r="D43" s="172">
        <f>5528-C43</f>
        <v>1976</v>
      </c>
      <c r="E43" s="172">
        <f>6817-D43-C43</f>
        <v>1289</v>
      </c>
      <c r="F43" s="172">
        <f>8770-E43-D43-C43</f>
        <v>1953</v>
      </c>
      <c r="G43" s="173">
        <f t="shared" si="1"/>
        <v>8770</v>
      </c>
    </row>
    <row r="44" spans="1:7" s="155" customFormat="1" ht="15">
      <c r="A44" s="170" t="s">
        <v>16</v>
      </c>
      <c r="B44" s="179" t="s">
        <v>46</v>
      </c>
      <c r="C44" s="176">
        <v>54272.61</v>
      </c>
      <c r="D44" s="176">
        <f>98729.47-C44</f>
        <v>44456.86</v>
      </c>
      <c r="E44" s="176">
        <f>153693.07-D44-C44</f>
        <v>54963.600000000006</v>
      </c>
      <c r="F44" s="176">
        <f>205733.64-E44-D44-C44</f>
        <v>52040.570000000007</v>
      </c>
      <c r="G44" s="173">
        <f t="shared" si="1"/>
        <v>205733.64</v>
      </c>
    </row>
    <row r="45" spans="1:7" s="155" customFormat="1" ht="15">
      <c r="A45" s="170" t="s">
        <v>27</v>
      </c>
      <c r="B45" s="179" t="s">
        <v>48</v>
      </c>
      <c r="C45" s="176">
        <v>16489.87</v>
      </c>
      <c r="D45" s="172">
        <f>30717.54-C45</f>
        <v>14227.670000000002</v>
      </c>
      <c r="E45" s="176">
        <f>43889.29-D45-C45</f>
        <v>13171.75</v>
      </c>
      <c r="F45" s="172">
        <f>55166.7-E45-D45-C45</f>
        <v>11277.409999999996</v>
      </c>
      <c r="G45" s="173">
        <f t="shared" si="1"/>
        <v>55166.7</v>
      </c>
    </row>
    <row r="46" spans="1:7" s="155" customFormat="1" ht="15">
      <c r="A46" s="185" t="s">
        <v>16</v>
      </c>
      <c r="B46" s="179" t="s">
        <v>49</v>
      </c>
      <c r="C46" s="172">
        <v>14783.97</v>
      </c>
      <c r="D46" s="172">
        <f>30572-C46</f>
        <v>15788.03</v>
      </c>
      <c r="E46" s="172">
        <f>42853.4-D46-C46</f>
        <v>12281.400000000003</v>
      </c>
      <c r="F46" s="172">
        <f>57256.83-E46-D46-C46</f>
        <v>14403.430000000002</v>
      </c>
      <c r="G46" s="173">
        <f t="shared" si="1"/>
        <v>57256.83</v>
      </c>
    </row>
    <row r="47" spans="1:7" s="155" customFormat="1" ht="15">
      <c r="A47" s="183">
        <v>0.04</v>
      </c>
      <c r="B47" s="179" t="s">
        <v>50</v>
      </c>
      <c r="C47" s="176">
        <v>1468.03</v>
      </c>
      <c r="D47" s="172">
        <f>2549.45-C47</f>
        <v>1081.4199999999998</v>
      </c>
      <c r="E47" s="172">
        <f>3388.4-D47-C47</f>
        <v>838.9500000000005</v>
      </c>
      <c r="F47" s="172">
        <f>4282.33-E47-D47-C47</f>
        <v>893.92999999999915</v>
      </c>
      <c r="G47" s="173">
        <f t="shared" si="1"/>
        <v>4282.33</v>
      </c>
    </row>
    <row r="48" spans="1:7" s="155" customFormat="1" ht="15">
      <c r="A48" s="170" t="s">
        <v>16</v>
      </c>
      <c r="B48" s="179" t="s">
        <v>112</v>
      </c>
      <c r="C48" s="176">
        <v>366.93</v>
      </c>
      <c r="D48" s="176">
        <f>367-C48</f>
        <v>6.9999999999993179E-2</v>
      </c>
      <c r="E48" s="172">
        <f>687.28-D48-C48</f>
        <v>320.28000000000003</v>
      </c>
      <c r="F48" s="176">
        <f>1844.18-E48-D48-C48</f>
        <v>1156.9000000000001</v>
      </c>
      <c r="G48" s="173">
        <f t="shared" si="1"/>
        <v>1844.18</v>
      </c>
    </row>
    <row r="49" spans="1:8" s="155" customFormat="1" ht="15">
      <c r="A49" s="170" t="s">
        <v>22</v>
      </c>
      <c r="B49" s="179" t="s">
        <v>51</v>
      </c>
      <c r="C49" s="172">
        <v>1237</v>
      </c>
      <c r="D49" s="172">
        <f>2309-C49</f>
        <v>1072</v>
      </c>
      <c r="E49" s="172">
        <f>2972-D49-C49</f>
        <v>663</v>
      </c>
      <c r="F49" s="172">
        <f>3826-E49-D49-C49</f>
        <v>854</v>
      </c>
      <c r="G49" s="173">
        <f t="shared" si="1"/>
        <v>3826</v>
      </c>
    </row>
    <row r="50" spans="1:8" s="155" customFormat="1" ht="15">
      <c r="A50" s="170" t="s">
        <v>16</v>
      </c>
      <c r="B50" s="179" t="s">
        <v>52</v>
      </c>
      <c r="C50" s="176">
        <v>41953</v>
      </c>
      <c r="D50" s="172">
        <f>80776-C50</f>
        <v>38823</v>
      </c>
      <c r="E50" s="172">
        <f>112332-D50-C50</f>
        <v>31556</v>
      </c>
      <c r="F50" s="172">
        <f>163439-E50-D50-C50</f>
        <v>51107</v>
      </c>
      <c r="G50" s="173">
        <f t="shared" si="1"/>
        <v>163439</v>
      </c>
    </row>
    <row r="51" spans="1:8" s="155" customFormat="1" ht="15">
      <c r="A51" s="170" t="s">
        <v>22</v>
      </c>
      <c r="B51" s="179" t="s">
        <v>53</v>
      </c>
      <c r="C51" s="176">
        <v>8945</v>
      </c>
      <c r="D51" s="172">
        <f>9681-C51</f>
        <v>736</v>
      </c>
      <c r="E51" s="172">
        <v>2874</v>
      </c>
      <c r="F51" s="172">
        <v>3657</v>
      </c>
      <c r="G51" s="173">
        <f t="shared" si="1"/>
        <v>16212</v>
      </c>
    </row>
    <row r="52" spans="1:8" s="155" customFormat="1" ht="15">
      <c r="A52" s="170" t="s">
        <v>16</v>
      </c>
      <c r="B52" s="179" t="s">
        <v>54</v>
      </c>
      <c r="C52" s="172">
        <v>27996.73</v>
      </c>
      <c r="D52" s="172">
        <f>49667.91-C52</f>
        <v>21671.180000000004</v>
      </c>
      <c r="E52" s="172">
        <f>77959-D52-C52</f>
        <v>28291.089999999993</v>
      </c>
      <c r="F52" s="172">
        <f>104843.48-E52-D52-C52</f>
        <v>26884.479999999992</v>
      </c>
      <c r="G52" s="173">
        <f t="shared" si="1"/>
        <v>104843.48</v>
      </c>
    </row>
    <row r="53" spans="1:8" s="155" customFormat="1" ht="15">
      <c r="A53" s="170" t="s">
        <v>16</v>
      </c>
      <c r="B53" s="179" t="s">
        <v>55</v>
      </c>
      <c r="C53" s="176">
        <v>141066</v>
      </c>
      <c r="D53" s="176">
        <f>224454-C53</f>
        <v>83388</v>
      </c>
      <c r="E53" s="172">
        <f>286720-D53-C53</f>
        <v>62266</v>
      </c>
      <c r="F53" s="172">
        <f>313814-E53-D53-C53</f>
        <v>27094</v>
      </c>
      <c r="G53" s="173">
        <f t="shared" si="1"/>
        <v>313814</v>
      </c>
    </row>
    <row r="54" spans="1:8" s="155" customFormat="1" ht="15">
      <c r="A54" s="170" t="s">
        <v>16</v>
      </c>
      <c r="B54" s="179" t="s">
        <v>56</v>
      </c>
      <c r="C54" s="172">
        <v>206276</v>
      </c>
      <c r="D54" s="176">
        <f>281900-C54</f>
        <v>75624</v>
      </c>
      <c r="E54" s="172">
        <f>441140-D54-C54</f>
        <v>159240</v>
      </c>
      <c r="F54" s="172">
        <f>526876-E54-D54-C54</f>
        <v>85736</v>
      </c>
      <c r="G54" s="173">
        <f t="shared" si="1"/>
        <v>526876</v>
      </c>
      <c r="H54" s="189"/>
    </row>
    <row r="55" spans="1:8" s="155" customFormat="1" ht="15">
      <c r="A55" s="183">
        <v>0.05</v>
      </c>
      <c r="B55" s="179" t="s">
        <v>57</v>
      </c>
      <c r="C55" s="176">
        <v>103681</v>
      </c>
      <c r="D55" s="172">
        <f>200874-C55</f>
        <v>97193</v>
      </c>
      <c r="E55" s="172">
        <f>274280-D55-C55</f>
        <v>73406</v>
      </c>
      <c r="F55" s="176">
        <f>368986-E55-D55-C55</f>
        <v>94706</v>
      </c>
      <c r="G55" s="173">
        <f t="shared" si="1"/>
        <v>368986</v>
      </c>
    </row>
    <row r="56" spans="1:8" s="155" customFormat="1" ht="15">
      <c r="A56" s="170" t="s">
        <v>16</v>
      </c>
      <c r="B56" s="179" t="s">
        <v>58</v>
      </c>
      <c r="C56" s="172">
        <v>240534</v>
      </c>
      <c r="D56" s="172">
        <f>462770-C56</f>
        <v>222236</v>
      </c>
      <c r="E56" s="172">
        <f>634640-D56-C56</f>
        <v>171870</v>
      </c>
      <c r="F56" s="172">
        <f>855150-E56-D56-C56</f>
        <v>220510</v>
      </c>
      <c r="G56" s="173">
        <f t="shared" si="1"/>
        <v>855150</v>
      </c>
    </row>
    <row r="57" spans="1:8" s="155" customFormat="1" ht="15">
      <c r="A57" s="190" t="s">
        <v>16</v>
      </c>
      <c r="B57" s="179" t="s">
        <v>59</v>
      </c>
      <c r="C57" s="172">
        <v>500161</v>
      </c>
      <c r="D57" s="172">
        <f>734383-C57</f>
        <v>234222</v>
      </c>
      <c r="E57" s="172">
        <f>1007889-D57-C57</f>
        <v>273506</v>
      </c>
      <c r="F57" s="172">
        <f>1212085-E57-D57-C57</f>
        <v>204196</v>
      </c>
      <c r="G57" s="173">
        <f t="shared" si="1"/>
        <v>1212085</v>
      </c>
    </row>
    <row r="58" spans="1:8" s="155" customFormat="1" ht="15">
      <c r="A58" s="170" t="s">
        <v>16</v>
      </c>
      <c r="B58" s="179" t="s">
        <v>60</v>
      </c>
      <c r="C58" s="176">
        <v>63786</v>
      </c>
      <c r="D58" s="172">
        <f>103410-C58</f>
        <v>39624</v>
      </c>
      <c r="E58" s="172">
        <f>133452-D58-C58</f>
        <v>30042</v>
      </c>
      <c r="F58" s="172">
        <f>169515-E58-D58-C58</f>
        <v>36063</v>
      </c>
      <c r="G58" s="173">
        <f t="shared" si="1"/>
        <v>169515</v>
      </c>
    </row>
    <row r="59" spans="1:8" s="155" customFormat="1" ht="15">
      <c r="A59" s="183">
        <v>0.05</v>
      </c>
      <c r="B59" s="191" t="s">
        <v>78</v>
      </c>
      <c r="C59" s="176">
        <v>1639884</v>
      </c>
      <c r="D59" s="176">
        <f>2810116-C59</f>
        <v>1170232</v>
      </c>
      <c r="E59" s="176">
        <f>3486446-D59-C59</f>
        <v>676330</v>
      </c>
      <c r="F59" s="172">
        <f>4403020-E59-D59-C59</f>
        <v>916574</v>
      </c>
      <c r="G59" s="173">
        <f t="shared" si="1"/>
        <v>4403020</v>
      </c>
    </row>
    <row r="60" spans="1:8" s="155" customFormat="1" ht="15">
      <c r="A60" s="183">
        <v>0.02</v>
      </c>
      <c r="B60" s="191" t="s">
        <v>140</v>
      </c>
      <c r="C60" s="176">
        <v>1223896</v>
      </c>
      <c r="D60" s="176">
        <f>2070825-C60</f>
        <v>846929</v>
      </c>
      <c r="E60" s="176">
        <f>2530459-D60-C60</f>
        <v>459634</v>
      </c>
      <c r="F60" s="172">
        <f>3189765-E60-D60-C60</f>
        <v>659306</v>
      </c>
      <c r="G60" s="173">
        <f>SUM(C60:F60)</f>
        <v>3189765</v>
      </c>
    </row>
    <row r="61" spans="1:8" s="155" customFormat="1" ht="15">
      <c r="A61" s="183">
        <v>0.05</v>
      </c>
      <c r="B61" s="179" t="s">
        <v>61</v>
      </c>
      <c r="C61" s="176">
        <v>142212.76</v>
      </c>
      <c r="D61" s="172">
        <f>251582-C61</f>
        <v>109369.23999999999</v>
      </c>
      <c r="E61" s="176">
        <f>343274-D61-C61</f>
        <v>91692</v>
      </c>
      <c r="F61" s="172">
        <f>460554.18-E61-D61-C61</f>
        <v>117280.18</v>
      </c>
      <c r="G61" s="173">
        <f t="shared" ref="G61:G70" si="2">(C61+D61+E61+F61)</f>
        <v>460554.18</v>
      </c>
    </row>
    <row r="62" spans="1:8" s="155" customFormat="1" ht="15">
      <c r="A62" s="170" t="s">
        <v>16</v>
      </c>
      <c r="B62" s="179" t="s">
        <v>62</v>
      </c>
      <c r="C62" s="172">
        <v>66729</v>
      </c>
      <c r="D62" s="172">
        <f>122240-C62</f>
        <v>55511</v>
      </c>
      <c r="E62" s="172">
        <f>170013-D62-C62</f>
        <v>47773</v>
      </c>
      <c r="F62" s="172">
        <f>245570-E62-D62-C62</f>
        <v>75557</v>
      </c>
      <c r="G62" s="173">
        <f t="shared" si="2"/>
        <v>245570</v>
      </c>
    </row>
    <row r="63" spans="1:8" s="155" customFormat="1" ht="15">
      <c r="A63" s="183">
        <v>0.05</v>
      </c>
      <c r="B63" s="179" t="s">
        <v>63</v>
      </c>
      <c r="C63" s="176">
        <v>89543</v>
      </c>
      <c r="D63" s="176">
        <f>183732-C63</f>
        <v>94189</v>
      </c>
      <c r="E63" s="176">
        <f>257073-D63-C63</f>
        <v>73341</v>
      </c>
      <c r="F63" s="172">
        <f>349532-E63-D63-C63</f>
        <v>92459</v>
      </c>
      <c r="G63" s="173">
        <f t="shared" si="2"/>
        <v>349532</v>
      </c>
    </row>
    <row r="64" spans="1:8" s="155" customFormat="1" ht="15">
      <c r="A64" s="170" t="s">
        <v>22</v>
      </c>
      <c r="B64" s="179" t="s">
        <v>64</v>
      </c>
      <c r="C64" s="176">
        <v>1748</v>
      </c>
      <c r="D64" s="176">
        <f>2196-C64</f>
        <v>448</v>
      </c>
      <c r="E64" s="176">
        <v>1519</v>
      </c>
      <c r="F64" s="176">
        <v>2270</v>
      </c>
      <c r="G64" s="173">
        <f t="shared" si="2"/>
        <v>5985</v>
      </c>
    </row>
    <row r="65" spans="1:8" s="155" customFormat="1" ht="15">
      <c r="A65" s="183">
        <v>0.05</v>
      </c>
      <c r="B65" s="179" t="s">
        <v>65</v>
      </c>
      <c r="C65" s="176">
        <v>343976</v>
      </c>
      <c r="D65" s="176">
        <f>577236-C65</f>
        <v>233260</v>
      </c>
      <c r="E65" s="176">
        <v>163427</v>
      </c>
      <c r="F65" s="176">
        <v>207132</v>
      </c>
      <c r="G65" s="177">
        <f t="shared" si="2"/>
        <v>947795</v>
      </c>
      <c r="H65" s="192"/>
    </row>
    <row r="66" spans="1:8" s="155" customFormat="1" ht="15">
      <c r="A66" s="185" t="s">
        <v>16</v>
      </c>
      <c r="B66" s="179" t="s">
        <v>66</v>
      </c>
      <c r="C66" s="176">
        <v>13782</v>
      </c>
      <c r="D66" s="172">
        <f>23198-C66</f>
        <v>9416</v>
      </c>
      <c r="E66" s="172">
        <f>165799-D66-C66</f>
        <v>142601</v>
      </c>
      <c r="F66" s="172">
        <f>223792-E66-D66-C66</f>
        <v>57993</v>
      </c>
      <c r="G66" s="173">
        <f t="shared" si="2"/>
        <v>223792</v>
      </c>
      <c r="H66" s="192"/>
    </row>
    <row r="67" spans="1:8" s="155" customFormat="1" ht="15">
      <c r="A67" s="170" t="s">
        <v>16</v>
      </c>
      <c r="B67" s="179" t="s">
        <v>67</v>
      </c>
      <c r="C67" s="172">
        <v>46869.99</v>
      </c>
      <c r="D67" s="172">
        <f>96167-C67</f>
        <v>49297.01</v>
      </c>
      <c r="E67" s="172">
        <f>139300-D67-C67</f>
        <v>43132.999999999993</v>
      </c>
      <c r="F67" s="172">
        <f>190176-E67-D67-C67</f>
        <v>50875.999999999993</v>
      </c>
      <c r="G67" s="173">
        <f t="shared" si="2"/>
        <v>190176</v>
      </c>
      <c r="H67" s="192"/>
    </row>
    <row r="68" spans="1:8" s="155" customFormat="1" ht="15">
      <c r="A68" s="170" t="s">
        <v>16</v>
      </c>
      <c r="B68" s="179" t="s">
        <v>68</v>
      </c>
      <c r="C68" s="172">
        <v>145388</v>
      </c>
      <c r="D68" s="176">
        <f>247274-C68</f>
        <v>101886</v>
      </c>
      <c r="E68" s="172">
        <f>334777-D68-C68</f>
        <v>87503</v>
      </c>
      <c r="F68" s="176">
        <f>459958-E68-D68-C68</f>
        <v>125181</v>
      </c>
      <c r="G68" s="173">
        <f t="shared" si="2"/>
        <v>459958</v>
      </c>
      <c r="H68" s="192"/>
    </row>
    <row r="69" spans="1:8" s="155" customFormat="1" ht="15">
      <c r="A69" s="185" t="s">
        <v>16</v>
      </c>
      <c r="B69" s="179" t="s">
        <v>81</v>
      </c>
      <c r="C69" s="176">
        <v>12557</v>
      </c>
      <c r="D69" s="176">
        <f>24652-C69</f>
        <v>12095</v>
      </c>
      <c r="E69" s="172">
        <f>35234-D69-C69</f>
        <v>10582</v>
      </c>
      <c r="F69" s="172">
        <f>47782-E69-D69-C69</f>
        <v>12548</v>
      </c>
      <c r="G69" s="173">
        <f t="shared" si="2"/>
        <v>47782</v>
      </c>
      <c r="H69" s="192"/>
    </row>
    <row r="70" spans="1:8" s="155" customFormat="1" ht="15">
      <c r="A70" s="170" t="s">
        <v>22</v>
      </c>
      <c r="B70" s="179" t="s">
        <v>69</v>
      </c>
      <c r="C70" s="193">
        <v>718.85</v>
      </c>
      <c r="D70" s="179">
        <f>1479.16-C70</f>
        <v>760.31000000000006</v>
      </c>
      <c r="E70" s="175">
        <f>1932.59-D70</f>
        <v>1172.2799999999997</v>
      </c>
      <c r="F70" s="179">
        <f>2727.49-E70</f>
        <v>1555.21</v>
      </c>
      <c r="G70" s="173">
        <f t="shared" si="2"/>
        <v>4206.6499999999996</v>
      </c>
      <c r="H70" s="192"/>
    </row>
    <row r="71" spans="1:8" s="155" customFormat="1">
      <c r="A71" s="194"/>
      <c r="B71" s="195"/>
      <c r="C71" s="196"/>
      <c r="D71" s="195"/>
      <c r="E71" s="195"/>
      <c r="F71" s="195"/>
      <c r="G71" s="197"/>
    </row>
    <row r="72" spans="1:8" s="155" customFormat="1" ht="15.75" thickBot="1">
      <c r="A72" s="198"/>
      <c r="B72" s="199" t="s">
        <v>70</v>
      </c>
      <c r="C72" s="199">
        <f>SUM(C8:C70)</f>
        <v>11445861.01</v>
      </c>
      <c r="D72" s="199">
        <f>SUM(D8:D70)</f>
        <v>9500821.0700000003</v>
      </c>
      <c r="E72" s="200">
        <f>SUM(E8:E70)</f>
        <v>7192945.7700000005</v>
      </c>
      <c r="F72" s="199">
        <f>SUM(F8:F70)</f>
        <v>8471053.8800000008</v>
      </c>
      <c r="G72" s="201">
        <f>SUM(G8:G70)</f>
        <v>36610681.729999989</v>
      </c>
    </row>
    <row r="73" spans="1:8" s="155" customFormat="1" ht="15" thickTop="1">
      <c r="A73" s="202"/>
      <c r="B73" s="192"/>
      <c r="C73" s="192"/>
      <c r="D73" s="192"/>
      <c r="E73" s="192"/>
      <c r="F73" s="192"/>
      <c r="G73" s="203">
        <f>C72+D72+E72+F72</f>
        <v>36610681.729999997</v>
      </c>
    </row>
    <row r="74" spans="1:8" s="155" customFormat="1" ht="15">
      <c r="A74" s="204" t="s">
        <v>117</v>
      </c>
      <c r="B74" s="192"/>
      <c r="C74" s="192"/>
      <c r="D74" s="192"/>
      <c r="E74" s="192"/>
      <c r="F74" s="192"/>
      <c r="G74" s="203"/>
    </row>
    <row r="75" spans="1:8" s="155" customFormat="1" ht="15">
      <c r="A75" s="204" t="s">
        <v>118</v>
      </c>
      <c r="B75" s="205"/>
      <c r="C75" s="192"/>
      <c r="D75" s="192"/>
      <c r="E75" s="192"/>
      <c r="F75" s="192"/>
      <c r="G75" s="203"/>
    </row>
    <row r="76" spans="1:8" s="155" customFormat="1" ht="15">
      <c r="A76" s="204" t="s">
        <v>0</v>
      </c>
      <c r="B76" s="205"/>
      <c r="C76" s="192"/>
      <c r="D76" s="192"/>
      <c r="E76" s="192"/>
      <c r="F76" s="192"/>
      <c r="G76" s="203"/>
    </row>
    <row r="77" spans="1:8" s="155" customFormat="1" ht="15">
      <c r="A77" s="206" t="s">
        <v>115</v>
      </c>
      <c r="B77" s="207"/>
      <c r="C77" s="192"/>
      <c r="D77" s="192"/>
      <c r="E77" s="192"/>
      <c r="F77" s="192"/>
      <c r="G77" s="203"/>
    </row>
    <row r="78" spans="1:8" s="155" customFormat="1" ht="15">
      <c r="A78" s="204"/>
      <c r="B78" s="208"/>
      <c r="C78" s="209"/>
      <c r="D78" s="209"/>
      <c r="E78" s="209"/>
      <c r="F78" s="209"/>
      <c r="G78" s="203"/>
    </row>
    <row r="79" spans="1:8" s="155" customFormat="1" ht="15">
      <c r="A79" s="210"/>
      <c r="B79" s="210"/>
      <c r="C79" s="210"/>
      <c r="D79" s="210"/>
      <c r="E79" s="210"/>
      <c r="F79" s="210"/>
      <c r="G79" s="211"/>
    </row>
    <row r="80" spans="1:8">
      <c r="A80" s="212"/>
      <c r="B80" s="212"/>
      <c r="C80" s="212"/>
      <c r="D80" s="212"/>
      <c r="E80" s="212"/>
      <c r="F80" s="212"/>
      <c r="G80" s="212"/>
    </row>
    <row r="81" spans="1:7">
      <c r="A81" s="212"/>
      <c r="B81" s="212"/>
      <c r="C81" s="212"/>
      <c r="D81" s="212"/>
      <c r="E81" s="212"/>
      <c r="F81" s="212"/>
      <c r="G81" s="212"/>
    </row>
    <row r="82" spans="1:7">
      <c r="A82" s="212"/>
      <c r="B82" s="212"/>
      <c r="C82" s="212"/>
      <c r="D82" s="212"/>
      <c r="E82" s="212"/>
      <c r="F82" s="212"/>
      <c r="G82" s="212"/>
    </row>
    <row r="83" spans="1:7">
      <c r="A83" s="212"/>
      <c r="B83" s="212"/>
      <c r="C83" s="212"/>
      <c r="D83" s="212"/>
      <c r="E83" s="212"/>
      <c r="F83" s="212"/>
      <c r="G83" s="212"/>
    </row>
    <row r="84" spans="1:7">
      <c r="A84" s="212"/>
      <c r="B84" s="212"/>
      <c r="C84" s="212"/>
      <c r="D84" s="212"/>
      <c r="E84" s="212"/>
      <c r="F84" s="212"/>
      <c r="G84" s="212"/>
    </row>
    <row r="85" spans="1:7">
      <c r="A85" s="212"/>
      <c r="B85" s="212"/>
      <c r="C85" s="212"/>
      <c r="D85" s="212"/>
      <c r="E85" s="212"/>
      <c r="F85" s="212"/>
      <c r="G85" s="212"/>
    </row>
    <row r="86" spans="1:7">
      <c r="A86" s="212"/>
      <c r="B86" s="212"/>
      <c r="C86" s="212"/>
      <c r="D86" s="212"/>
      <c r="E86" s="212"/>
      <c r="F86" s="212"/>
      <c r="G86" s="212"/>
    </row>
    <row r="87" spans="1:7">
      <c r="A87" s="212"/>
      <c r="B87" s="212"/>
      <c r="C87" s="212"/>
      <c r="D87" s="212"/>
      <c r="E87" s="212"/>
      <c r="F87" s="212"/>
      <c r="G87" s="212"/>
    </row>
    <row r="88" spans="1:7">
      <c r="A88" s="212"/>
      <c r="B88" s="212"/>
      <c r="C88" s="212"/>
      <c r="D88" s="212"/>
      <c r="E88" s="212"/>
      <c r="F88" s="212"/>
      <c r="G88" s="212"/>
    </row>
    <row r="89" spans="1:7">
      <c r="A89" s="212"/>
      <c r="B89" s="212"/>
      <c r="C89" s="212"/>
      <c r="D89" s="212"/>
      <c r="E89" s="212"/>
      <c r="F89" s="212"/>
      <c r="G89" s="212"/>
    </row>
    <row r="90" spans="1:7" s="214" customFormat="1" ht="15">
      <c r="A90" s="208"/>
      <c r="B90" s="208"/>
      <c r="C90" s="208"/>
      <c r="D90" s="208"/>
      <c r="E90" s="208"/>
      <c r="F90" s="208"/>
      <c r="G90" s="208"/>
    </row>
    <row r="91" spans="1:7" s="214" customFormat="1" ht="15">
      <c r="A91" s="208"/>
      <c r="B91" s="208"/>
      <c r="C91" s="208"/>
      <c r="D91" s="208"/>
      <c r="E91" s="208"/>
      <c r="F91" s="208"/>
      <c r="G91" s="208"/>
    </row>
    <row r="92" spans="1:7" s="214" customFormat="1" ht="15">
      <c r="A92" s="208"/>
      <c r="B92" s="208"/>
      <c r="C92" s="208"/>
      <c r="D92" s="208"/>
      <c r="E92" s="208"/>
      <c r="F92" s="208"/>
      <c r="G92" s="208"/>
    </row>
    <row r="93" spans="1:7" s="214" customFormat="1" ht="15">
      <c r="A93" s="208"/>
      <c r="B93" s="208"/>
      <c r="C93" s="208"/>
      <c r="D93" s="208"/>
      <c r="E93" s="208"/>
      <c r="F93" s="208"/>
      <c r="G93" s="208"/>
    </row>
    <row r="94" spans="1:7" s="214" customFormat="1" ht="15">
      <c r="A94" s="208"/>
      <c r="B94" s="208"/>
      <c r="C94" s="208"/>
      <c r="D94" s="208"/>
      <c r="E94" s="208"/>
      <c r="F94" s="208"/>
      <c r="G94" s="208"/>
    </row>
    <row r="95" spans="1:7" s="214" customFormat="1" ht="15">
      <c r="A95" s="208"/>
      <c r="B95" s="208"/>
      <c r="C95" s="208"/>
      <c r="D95" s="208"/>
      <c r="E95" s="208"/>
      <c r="F95" s="208"/>
      <c r="G95" s="208"/>
    </row>
    <row r="96" spans="1:7" s="214" customFormat="1" ht="15">
      <c r="A96" s="208"/>
      <c r="B96" s="208"/>
      <c r="C96" s="208"/>
      <c r="D96" s="208"/>
      <c r="E96" s="208"/>
      <c r="F96" s="208"/>
      <c r="G96" s="208"/>
    </row>
    <row r="97" spans="1:7" s="214" customFormat="1" ht="15">
      <c r="A97" s="208"/>
      <c r="B97" s="208"/>
      <c r="C97" s="208"/>
      <c r="D97" s="208"/>
      <c r="E97" s="208"/>
      <c r="F97" s="208"/>
      <c r="G97" s="208"/>
    </row>
    <row r="98" spans="1:7" s="214" customFormat="1" ht="15">
      <c r="A98" s="208"/>
      <c r="B98" s="208"/>
      <c r="C98" s="208"/>
      <c r="D98" s="208"/>
      <c r="E98" s="208"/>
      <c r="F98" s="208"/>
      <c r="G98" s="208"/>
    </row>
    <row r="99" spans="1:7" s="214" customFormat="1" ht="15">
      <c r="A99" s="208"/>
      <c r="B99" s="208"/>
      <c r="C99" s="208"/>
      <c r="D99" s="208"/>
      <c r="E99" s="208"/>
      <c r="F99" s="208"/>
      <c r="G99" s="208"/>
    </row>
    <row r="100" spans="1:7" s="214" customFormat="1" ht="15">
      <c r="A100" s="208"/>
      <c r="B100" s="208"/>
      <c r="C100" s="208"/>
      <c r="D100" s="208"/>
      <c r="E100" s="208"/>
      <c r="F100" s="208"/>
      <c r="G100" s="208"/>
    </row>
    <row r="101" spans="1:7" s="214" customFormat="1" ht="15">
      <c r="A101" s="208"/>
      <c r="B101" s="208"/>
      <c r="C101" s="208"/>
      <c r="D101" s="208"/>
      <c r="E101" s="208"/>
      <c r="F101" s="208"/>
      <c r="G101" s="208"/>
    </row>
    <row r="102" spans="1:7" s="214" customFormat="1" ht="15">
      <c r="A102" s="208"/>
      <c r="B102" s="208"/>
      <c r="C102" s="208"/>
      <c r="D102" s="208"/>
      <c r="E102" s="208"/>
      <c r="F102" s="208"/>
      <c r="G102" s="208"/>
    </row>
    <row r="103" spans="1:7" s="214" customFormat="1" ht="15">
      <c r="A103" s="208"/>
      <c r="B103" s="208"/>
      <c r="C103" s="208"/>
      <c r="D103" s="208"/>
      <c r="E103" s="208"/>
      <c r="F103" s="208"/>
      <c r="G103" s="208"/>
    </row>
    <row r="104" spans="1:7" s="214" customFormat="1" ht="15">
      <c r="A104" s="208"/>
      <c r="B104" s="208"/>
      <c r="C104" s="208"/>
      <c r="D104" s="208"/>
      <c r="E104" s="208"/>
      <c r="F104" s="208"/>
      <c r="G104" s="208"/>
    </row>
    <row r="105" spans="1:7" s="214" customFormat="1" ht="15">
      <c r="A105" s="208"/>
      <c r="B105" s="208"/>
      <c r="C105" s="208"/>
      <c r="D105" s="208"/>
      <c r="E105" s="208"/>
      <c r="F105" s="208"/>
      <c r="G105" s="208"/>
    </row>
    <row r="106" spans="1:7" s="214" customFormat="1" ht="15">
      <c r="A106" s="208"/>
      <c r="B106" s="208"/>
      <c r="C106" s="208"/>
      <c r="D106" s="208"/>
      <c r="E106" s="208"/>
      <c r="F106" s="208"/>
      <c r="G106" s="208"/>
    </row>
    <row r="107" spans="1:7" s="214" customFormat="1" ht="15">
      <c r="A107" s="208"/>
      <c r="B107" s="208"/>
      <c r="C107" s="208"/>
      <c r="D107" s="208"/>
      <c r="E107" s="208"/>
      <c r="F107" s="208"/>
      <c r="G107" s="208"/>
    </row>
    <row r="108" spans="1:7" s="214" customFormat="1" ht="15">
      <c r="A108" s="208"/>
      <c r="B108" s="208"/>
      <c r="C108" s="208"/>
      <c r="D108" s="208"/>
      <c r="E108" s="208"/>
      <c r="F108" s="208"/>
      <c r="G108" s="208"/>
    </row>
    <row r="109" spans="1:7" s="214" customFormat="1" ht="15">
      <c r="A109" s="208"/>
      <c r="B109" s="208"/>
      <c r="C109" s="208"/>
      <c r="D109" s="208"/>
      <c r="E109" s="208"/>
      <c r="F109" s="208"/>
      <c r="G109" s="208"/>
    </row>
    <row r="110" spans="1:7" s="214" customFormat="1" ht="15">
      <c r="A110" s="208"/>
      <c r="B110" s="208"/>
      <c r="C110" s="208"/>
      <c r="D110" s="208"/>
      <c r="E110" s="208"/>
      <c r="F110" s="208"/>
      <c r="G110" s="208"/>
    </row>
    <row r="111" spans="1:7" s="214" customFormat="1" ht="15">
      <c r="A111" s="208"/>
      <c r="B111" s="208"/>
      <c r="C111" s="208"/>
      <c r="D111" s="208"/>
      <c r="E111" s="208"/>
      <c r="F111" s="208"/>
      <c r="G111" s="208"/>
    </row>
    <row r="112" spans="1:7" s="214" customFormat="1" ht="15">
      <c r="A112" s="208"/>
      <c r="B112" s="208"/>
      <c r="C112" s="208"/>
      <c r="D112" s="208"/>
      <c r="E112" s="208"/>
      <c r="F112" s="208"/>
      <c r="G112" s="208"/>
    </row>
    <row r="113" spans="1:8" s="214" customFormat="1" ht="15">
      <c r="A113" s="208"/>
      <c r="B113" s="208"/>
      <c r="C113" s="208"/>
      <c r="D113" s="208"/>
      <c r="E113" s="208"/>
      <c r="F113" s="208"/>
      <c r="G113" s="208"/>
    </row>
    <row r="114" spans="1:8" s="214" customFormat="1" ht="15">
      <c r="A114" s="208"/>
      <c r="B114" s="208"/>
      <c r="C114" s="208"/>
      <c r="D114" s="208"/>
      <c r="E114" s="208"/>
      <c r="F114" s="208"/>
      <c r="G114" s="208"/>
    </row>
    <row r="115" spans="1:8" s="214" customFormat="1" ht="15">
      <c r="A115" s="208"/>
      <c r="B115" s="208"/>
      <c r="C115" s="208"/>
      <c r="D115" s="208"/>
      <c r="E115" s="208"/>
      <c r="F115" s="208"/>
      <c r="G115" s="208"/>
    </row>
    <row r="116" spans="1:8" s="214" customFormat="1" ht="15">
      <c r="A116" s="208"/>
      <c r="B116" s="208"/>
      <c r="C116" s="208"/>
      <c r="D116" s="208"/>
      <c r="E116" s="208"/>
      <c r="F116" s="208"/>
      <c r="G116" s="208"/>
    </row>
    <row r="117" spans="1:8" s="214" customFormat="1" ht="15">
      <c r="A117" s="208"/>
      <c r="B117" s="208"/>
      <c r="C117" s="208"/>
      <c r="D117" s="208"/>
      <c r="E117" s="208"/>
      <c r="F117" s="208"/>
      <c r="G117" s="208"/>
      <c r="H117" s="215"/>
    </row>
    <row r="118" spans="1:8" s="214" customFormat="1" ht="15">
      <c r="A118" s="208"/>
      <c r="B118" s="208"/>
      <c r="C118" s="208"/>
      <c r="D118" s="208"/>
      <c r="E118" s="208"/>
      <c r="F118" s="208"/>
      <c r="G118" s="208"/>
      <c r="H118" s="215"/>
    </row>
    <row r="119" spans="1:8" s="214" customFormat="1" ht="15">
      <c r="A119" s="215"/>
      <c r="B119" s="216"/>
      <c r="C119" s="216"/>
      <c r="D119" s="216"/>
      <c r="E119" s="216"/>
      <c r="F119" s="216"/>
      <c r="G119" s="216"/>
    </row>
    <row r="120" spans="1:8" s="214" customFormat="1">
      <c r="A120" s="215"/>
      <c r="B120" s="215"/>
      <c r="C120" s="215"/>
      <c r="D120" s="215"/>
      <c r="E120" s="215"/>
      <c r="F120" s="215"/>
      <c r="G120" s="215"/>
    </row>
    <row r="121" spans="1:8" s="214" customFormat="1" ht="15">
      <c r="A121" s="216"/>
      <c r="B121" s="215"/>
      <c r="C121" s="215"/>
      <c r="D121" s="215"/>
      <c r="E121" s="215"/>
      <c r="F121" s="215"/>
      <c r="G121" s="215"/>
    </row>
    <row r="122" spans="1:8" s="214" customFormat="1" ht="15">
      <c r="A122" s="216"/>
      <c r="B122" s="216"/>
      <c r="C122" s="215"/>
      <c r="D122" s="215"/>
      <c r="E122" s="215"/>
      <c r="F122" s="215"/>
      <c r="G122" s="215"/>
    </row>
    <row r="123" spans="1:8" s="214" customFormat="1" ht="15">
      <c r="A123" s="216"/>
      <c r="B123" s="216"/>
      <c r="C123" s="215"/>
      <c r="D123" s="215"/>
      <c r="E123" s="215"/>
      <c r="F123" s="215"/>
      <c r="G123" s="215"/>
    </row>
    <row r="124" spans="1:8" s="214" customFormat="1" ht="15">
      <c r="A124" s="216"/>
      <c r="B124" s="216"/>
      <c r="C124" s="215"/>
      <c r="D124" s="215"/>
      <c r="E124" s="215"/>
      <c r="F124" s="215"/>
      <c r="G124" s="215"/>
    </row>
    <row r="125" spans="1:8" s="214" customFormat="1">
      <c r="A125" s="215"/>
      <c r="B125" s="215"/>
      <c r="C125" s="215"/>
      <c r="D125" s="215"/>
      <c r="E125" s="215"/>
      <c r="F125" s="215"/>
      <c r="G125" s="215"/>
    </row>
    <row r="126" spans="1:8" s="214" customFormat="1"/>
    <row r="127" spans="1:8" s="214" customFormat="1"/>
    <row r="128" spans="1:8" s="214" customFormat="1">
      <c r="A128" s="215"/>
      <c r="B128" s="215"/>
      <c r="C128" s="215"/>
      <c r="D128" s="215"/>
      <c r="E128" s="215"/>
      <c r="F128" s="215"/>
      <c r="G128" s="215"/>
    </row>
    <row r="129" spans="1:7" s="214" customFormat="1">
      <c r="A129" s="215"/>
      <c r="B129" s="215"/>
      <c r="C129" s="215"/>
      <c r="D129" s="215"/>
      <c r="E129" s="215"/>
      <c r="F129" s="215"/>
      <c r="G129" s="215"/>
    </row>
    <row r="130" spans="1:7" s="214" customFormat="1"/>
    <row r="131" spans="1:7" s="214" customFormat="1"/>
    <row r="132" spans="1:7" s="214" customFormat="1"/>
    <row r="133" spans="1:7" s="214" customFormat="1"/>
    <row r="134" spans="1:7" s="214" customFormat="1"/>
    <row r="135" spans="1:7" s="214" customFormat="1"/>
    <row r="136" spans="1:7" s="214" customFormat="1"/>
    <row r="137" spans="1:7" s="214" customFormat="1"/>
    <row r="138" spans="1:7" s="214" customFormat="1"/>
    <row r="139" spans="1:7" s="214" customFormat="1"/>
    <row r="140" spans="1:7" s="214" customFormat="1"/>
    <row r="141" spans="1:7" s="214" customFormat="1"/>
    <row r="142" spans="1:7" s="214" customFormat="1"/>
    <row r="143" spans="1:7" s="214" customFormat="1"/>
    <row r="144" spans="1:7" s="214" customFormat="1"/>
    <row r="145" spans="1:7" s="214" customFormat="1"/>
    <row r="146" spans="1:7" s="214" customFormat="1"/>
    <row r="147" spans="1:7" s="214" customFormat="1"/>
    <row r="148" spans="1:7" s="214" customFormat="1"/>
    <row r="149" spans="1:7" s="214" customFormat="1"/>
    <row r="150" spans="1:7" s="214" customFormat="1"/>
    <row r="151" spans="1:7" s="214" customFormat="1"/>
    <row r="152" spans="1:7" s="214" customFormat="1"/>
    <row r="153" spans="1:7" s="214" customFormat="1">
      <c r="A153" s="215"/>
      <c r="B153" s="215"/>
      <c r="C153" s="215"/>
      <c r="D153" s="215"/>
      <c r="E153" s="215"/>
      <c r="F153" s="215"/>
      <c r="G153" s="215"/>
    </row>
    <row r="154" spans="1:7" s="214" customFormat="1">
      <c r="A154" s="215"/>
      <c r="B154" s="215"/>
      <c r="C154" s="215"/>
      <c r="D154" s="215"/>
      <c r="E154" s="215"/>
      <c r="F154" s="215"/>
      <c r="G154" s="215"/>
    </row>
    <row r="155" spans="1:7" s="214" customFormat="1">
      <c r="A155" s="215"/>
      <c r="B155" s="215"/>
      <c r="C155" s="215"/>
      <c r="D155" s="215"/>
      <c r="E155" s="215"/>
      <c r="F155" s="215"/>
      <c r="G155" s="215"/>
    </row>
    <row r="156" spans="1:7" s="214" customFormat="1"/>
    <row r="157" spans="1:7" s="214" customFormat="1"/>
    <row r="158" spans="1:7" s="214" customFormat="1"/>
    <row r="159" spans="1:7" s="214" customFormat="1"/>
    <row r="160" spans="1:7" s="214" customFormat="1"/>
    <row r="161" spans="1:7" s="214" customFormat="1"/>
    <row r="162" spans="1:7" s="214" customFormat="1"/>
    <row r="163" spans="1:7" s="214" customFormat="1"/>
    <row r="164" spans="1:7" s="214" customFormat="1"/>
    <row r="165" spans="1:7" s="214" customFormat="1"/>
    <row r="166" spans="1:7" s="214" customFormat="1"/>
    <row r="167" spans="1:7" s="214" customFormat="1"/>
    <row r="168" spans="1:7" s="214" customFormat="1"/>
    <row r="169" spans="1:7" s="214" customFormat="1"/>
    <row r="170" spans="1:7" s="214" customFormat="1"/>
    <row r="171" spans="1:7" s="214" customFormat="1"/>
    <row r="172" spans="1:7" s="214" customFormat="1"/>
    <row r="173" spans="1:7" s="214" customFormat="1"/>
    <row r="174" spans="1:7" s="214" customFormat="1">
      <c r="A174" s="215"/>
      <c r="B174" s="215"/>
      <c r="C174" s="215"/>
      <c r="D174" s="215"/>
      <c r="E174" s="215"/>
      <c r="F174" s="215"/>
      <c r="G174" s="215"/>
    </row>
    <row r="175" spans="1:7" s="214" customFormat="1">
      <c r="A175" s="215"/>
      <c r="B175" s="215"/>
      <c r="C175" s="215"/>
      <c r="D175" s="215"/>
      <c r="E175" s="215"/>
      <c r="F175" s="215"/>
      <c r="G175" s="215"/>
    </row>
    <row r="176" spans="1:7" s="214" customFormat="1">
      <c r="A176" s="215"/>
      <c r="B176" s="215"/>
      <c r="C176" s="215"/>
      <c r="D176" s="215"/>
      <c r="E176" s="215"/>
      <c r="F176" s="215"/>
      <c r="G176" s="215"/>
    </row>
    <row r="177" spans="1:7" s="214" customFormat="1">
      <c r="A177" s="215"/>
      <c r="B177" s="215"/>
      <c r="C177" s="215"/>
      <c r="D177" s="215"/>
      <c r="E177" s="215"/>
      <c r="F177" s="215"/>
      <c r="G177" s="215"/>
    </row>
    <row r="178" spans="1:7" s="214" customFormat="1" ht="15">
      <c r="A178" s="208"/>
      <c r="B178" s="208"/>
      <c r="C178" s="208"/>
      <c r="D178" s="208"/>
      <c r="E178" s="208"/>
      <c r="F178" s="208"/>
      <c r="G178" s="208"/>
    </row>
    <row r="179" spans="1:7" s="214" customFormat="1" ht="15">
      <c r="A179" s="208"/>
      <c r="B179" s="208"/>
      <c r="C179" s="208"/>
      <c r="D179" s="208"/>
      <c r="E179" s="208"/>
      <c r="F179" s="208"/>
      <c r="G179" s="208"/>
    </row>
    <row r="180" spans="1:7" s="214" customFormat="1"/>
    <row r="181" spans="1:7" s="214" customFormat="1"/>
    <row r="182" spans="1:7" s="214" customFormat="1"/>
    <row r="183" spans="1:7" s="214" customFormat="1"/>
    <row r="184" spans="1:7" s="214" customFormat="1"/>
    <row r="185" spans="1:7" s="214" customFormat="1"/>
    <row r="186" spans="1:7" s="214" customFormat="1"/>
    <row r="187" spans="1:7" s="214" customFormat="1"/>
    <row r="188" spans="1:7" s="214" customFormat="1"/>
    <row r="189" spans="1:7" s="214" customFormat="1"/>
    <row r="190" spans="1:7" s="214" customFormat="1"/>
    <row r="191" spans="1:7" s="214" customFormat="1"/>
    <row r="192" spans="1:7" s="214" customFormat="1"/>
    <row r="193" s="214" customFormat="1"/>
    <row r="194" s="214" customFormat="1"/>
    <row r="195" s="214" customFormat="1"/>
    <row r="196" s="214" customFormat="1"/>
    <row r="197" s="214" customFormat="1"/>
    <row r="198" s="214" customFormat="1"/>
    <row r="199" s="214" customFormat="1"/>
    <row r="200" s="214" customFormat="1"/>
    <row r="201" s="214" customFormat="1"/>
    <row r="202" s="214" customFormat="1"/>
    <row r="203" s="214" customFormat="1"/>
    <row r="204" s="214" customFormat="1"/>
    <row r="205" s="214" customFormat="1"/>
    <row r="206" s="214" customFormat="1"/>
    <row r="207" s="214" customFormat="1"/>
    <row r="208" s="214" customFormat="1"/>
    <row r="209" s="214" customFormat="1"/>
    <row r="210" s="214" customFormat="1"/>
    <row r="211" s="214" customFormat="1"/>
    <row r="212" s="214" customFormat="1"/>
    <row r="213" s="214" customFormat="1"/>
    <row r="214" s="214" customFormat="1"/>
    <row r="215" s="214" customFormat="1"/>
    <row r="216" s="214" customFormat="1"/>
    <row r="217" s="214" customFormat="1"/>
    <row r="218" s="214" customFormat="1"/>
    <row r="219" s="214" customFormat="1"/>
    <row r="220" s="214" customFormat="1"/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39"/>
  <sheetViews>
    <sheetView workbookViewId="0">
      <selection activeCell="K34" sqref="K34"/>
    </sheetView>
  </sheetViews>
  <sheetFormatPr defaultColWidth="15.6640625" defaultRowHeight="15"/>
  <cols>
    <col min="1" max="1" width="4.6640625" style="25" customWidth="1"/>
    <col min="2" max="2" width="3.77734375" style="25" customWidth="1"/>
    <col min="3" max="3" width="17" style="25" customWidth="1"/>
    <col min="4" max="4" width="2.6640625" style="25" hidden="1" customWidth="1"/>
    <col min="5" max="5" width="11" style="25" customWidth="1"/>
    <col min="6" max="6" width="1.6640625" style="25" customWidth="1"/>
    <col min="7" max="7" width="13.109375" style="25" customWidth="1"/>
    <col min="8" max="8" width="10.44140625" style="25" customWidth="1"/>
    <col min="9" max="9" width="13.77734375" style="85" customWidth="1"/>
    <col min="10" max="10" width="11.21875" style="25" customWidth="1"/>
    <col min="11" max="11" width="19.21875" style="25" customWidth="1"/>
    <col min="12" max="12" width="1.6640625" style="25" customWidth="1"/>
    <col min="13" max="13" width="8.6640625" style="25" customWidth="1"/>
    <col min="14" max="16384" width="15.6640625" style="25"/>
  </cols>
  <sheetData>
    <row r="1" spans="1:37" s="4" customFormat="1">
      <c r="A1" s="1" t="s">
        <v>82</v>
      </c>
      <c r="B1" s="2"/>
      <c r="C1" s="2"/>
      <c r="D1" s="2"/>
      <c r="E1" s="4" t="s">
        <v>123</v>
      </c>
      <c r="M1" s="2" t="s">
        <v>83</v>
      </c>
      <c r="N1" s="2"/>
      <c r="O1" s="2"/>
      <c r="P1" s="2"/>
      <c r="Q1" s="2"/>
      <c r="R1" s="2"/>
      <c r="S1" s="3">
        <f ca="1">NOW()</f>
        <v>43494.548466203705</v>
      </c>
    </row>
    <row r="2" spans="1:37" s="4" customFormat="1">
      <c r="A2" s="5" t="s">
        <v>84</v>
      </c>
      <c r="B2" s="6"/>
      <c r="C2" s="6"/>
      <c r="D2" s="6"/>
      <c r="E2" s="4" t="s">
        <v>121</v>
      </c>
      <c r="M2" s="6" t="s">
        <v>108</v>
      </c>
      <c r="N2" s="6"/>
      <c r="O2" s="6"/>
      <c r="P2" s="6"/>
      <c r="Q2" s="6"/>
      <c r="R2" s="6"/>
      <c r="S2" s="7"/>
    </row>
    <row r="3" spans="1:37" s="4" customFormat="1">
      <c r="A3" s="5" t="s">
        <v>85</v>
      </c>
      <c r="B3" s="6"/>
      <c r="C3" s="6"/>
      <c r="D3" s="6"/>
      <c r="E3" s="4" t="s">
        <v>122</v>
      </c>
      <c r="M3" s="6" t="s">
        <v>114</v>
      </c>
      <c r="N3" s="6"/>
      <c r="O3" s="6"/>
      <c r="P3" s="6"/>
      <c r="Q3" s="6"/>
      <c r="R3" s="6"/>
      <c r="S3" s="7"/>
    </row>
    <row r="4" spans="1:37" s="4" customFormat="1">
      <c r="A4" s="8"/>
      <c r="B4" s="9"/>
      <c r="C4" s="9"/>
      <c r="D4" s="9"/>
      <c r="E4" s="9"/>
      <c r="F4" s="9"/>
      <c r="G4" s="68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69" t="s">
        <v>86</v>
      </c>
      <c r="H5" s="13" t="s">
        <v>87</v>
      </c>
      <c r="I5" s="13" t="s">
        <v>88</v>
      </c>
      <c r="J5" s="13" t="s">
        <v>89</v>
      </c>
      <c r="K5" s="14"/>
    </row>
    <row r="6" spans="1:37" s="4" customFormat="1">
      <c r="A6" s="11"/>
      <c r="B6" s="12"/>
      <c r="C6" s="12"/>
      <c r="D6" s="12"/>
      <c r="G6" s="69" t="s">
        <v>72</v>
      </c>
      <c r="H6" s="13" t="s">
        <v>72</v>
      </c>
      <c r="I6" s="13" t="s">
        <v>72</v>
      </c>
      <c r="J6" s="13" t="s">
        <v>72</v>
      </c>
      <c r="K6" s="15" t="s">
        <v>9</v>
      </c>
    </row>
    <row r="7" spans="1:37" s="4" customFormat="1">
      <c r="A7" s="11"/>
      <c r="B7" s="12"/>
      <c r="C7" s="12" t="s">
        <v>90</v>
      </c>
      <c r="D7" s="12"/>
      <c r="G7" s="69" t="s">
        <v>91</v>
      </c>
      <c r="H7" s="13" t="s">
        <v>92</v>
      </c>
      <c r="I7" s="13" t="s">
        <v>93</v>
      </c>
      <c r="J7" s="13" t="s">
        <v>94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0"/>
      <c r="H8" s="75"/>
      <c r="I8" s="75"/>
      <c r="J8" s="75"/>
      <c r="K8" s="17"/>
    </row>
    <row r="9" spans="1:37" s="4" customFormat="1" ht="19.899999999999999" customHeight="1">
      <c r="A9" s="18" t="s">
        <v>16</v>
      </c>
      <c r="B9" s="19"/>
      <c r="C9" s="19" t="s">
        <v>95</v>
      </c>
      <c r="D9" s="20"/>
      <c r="E9" s="19"/>
      <c r="F9" s="19"/>
      <c r="G9" s="77">
        <v>14052</v>
      </c>
      <c r="H9" s="77">
        <f>23594-G9</f>
        <v>9542</v>
      </c>
      <c r="I9" s="77">
        <f>28024-H9</f>
        <v>18482</v>
      </c>
      <c r="J9" s="77">
        <f>32253-I9</f>
        <v>13771</v>
      </c>
      <c r="K9" s="20">
        <f>J9+I9+H9+G9</f>
        <v>55847</v>
      </c>
      <c r="L9" s="6"/>
    </row>
    <row r="10" spans="1:37" s="4" customFormat="1" ht="19.899999999999999" customHeight="1">
      <c r="A10" s="21"/>
      <c r="B10" s="22"/>
      <c r="C10" s="22" t="s">
        <v>0</v>
      </c>
      <c r="D10" s="23"/>
      <c r="E10" s="22"/>
      <c r="F10" s="28"/>
      <c r="G10" s="124"/>
      <c r="H10" s="77" t="s">
        <v>0</v>
      </c>
      <c r="I10" s="77" t="s">
        <v>0</v>
      </c>
      <c r="J10" s="77" t="s">
        <v>0</v>
      </c>
      <c r="K10" s="20" t="s">
        <v>0</v>
      </c>
      <c r="L10" s="6"/>
    </row>
    <row r="11" spans="1:37" s="4" customFormat="1" ht="19.899999999999999" customHeight="1">
      <c r="A11" s="24">
        <v>0.05</v>
      </c>
      <c r="B11" s="19"/>
      <c r="C11" s="19" t="s">
        <v>96</v>
      </c>
      <c r="D11" s="20"/>
      <c r="E11" s="19"/>
      <c r="F11" s="19"/>
      <c r="G11" s="77">
        <v>21960</v>
      </c>
      <c r="H11" s="77">
        <f>42754-G11</f>
        <v>20794</v>
      </c>
      <c r="I11" s="126">
        <f>51435-H11</f>
        <v>30641</v>
      </c>
      <c r="J11" s="77">
        <f>68401-I11</f>
        <v>37760</v>
      </c>
      <c r="K11" s="20">
        <f t="shared" ref="K11:K32" si="0">J11+I11+H11+G11</f>
        <v>111155</v>
      </c>
      <c r="L11" s="6"/>
    </row>
    <row r="12" spans="1:37" s="4" customFormat="1" ht="19.899999999999999" customHeight="1">
      <c r="A12" s="21"/>
      <c r="B12" s="22"/>
      <c r="C12" s="22" t="s">
        <v>0</v>
      </c>
      <c r="D12" s="23"/>
      <c r="E12" s="22"/>
      <c r="F12" s="28"/>
      <c r="G12" s="77" t="s">
        <v>0</v>
      </c>
      <c r="H12" s="77" t="s">
        <v>0</v>
      </c>
      <c r="I12" s="77" t="s">
        <v>0</v>
      </c>
      <c r="J12" s="77" t="s">
        <v>0</v>
      </c>
      <c r="K12" s="20" t="s">
        <v>0</v>
      </c>
      <c r="L12" s="6"/>
    </row>
    <row r="13" spans="1:37" ht="19.899999999999999" customHeight="1">
      <c r="A13" s="24">
        <v>0.04</v>
      </c>
      <c r="B13" s="19"/>
      <c r="C13" s="19" t="s">
        <v>97</v>
      </c>
      <c r="D13" s="20"/>
      <c r="E13" s="19"/>
      <c r="F13" s="19"/>
      <c r="G13" s="77">
        <v>24181</v>
      </c>
      <c r="H13" s="77">
        <v>14095</v>
      </c>
      <c r="I13" s="77">
        <v>12593</v>
      </c>
      <c r="J13" s="77">
        <v>10461</v>
      </c>
      <c r="K13" s="20">
        <f t="shared" si="0"/>
        <v>61330</v>
      </c>
      <c r="L13" s="6"/>
      <c r="M13" s="4" t="s">
        <v>0</v>
      </c>
    </row>
    <row r="14" spans="1:37" ht="19.899999999999999" customHeight="1">
      <c r="A14" s="21"/>
      <c r="B14" s="22"/>
      <c r="C14" s="22" t="s">
        <v>0</v>
      </c>
      <c r="D14" s="23"/>
      <c r="E14" s="22"/>
      <c r="F14" s="28"/>
      <c r="G14" s="77" t="s">
        <v>0</v>
      </c>
      <c r="H14" s="77" t="s">
        <v>0</v>
      </c>
      <c r="I14" s="77" t="s">
        <v>0</v>
      </c>
      <c r="J14" s="77" t="s">
        <v>0</v>
      </c>
      <c r="K14" s="20" t="s">
        <v>0</v>
      </c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899999999999999" customHeight="1">
      <c r="A15" s="41">
        <v>0.05</v>
      </c>
      <c r="B15" s="42"/>
      <c r="C15" s="46" t="s">
        <v>47</v>
      </c>
      <c r="D15" s="43"/>
      <c r="E15" s="42"/>
      <c r="F15" s="42"/>
      <c r="G15" s="77">
        <v>100357.79</v>
      </c>
      <c r="H15" s="77">
        <f>168270.39-G15</f>
        <v>67912.60000000002</v>
      </c>
      <c r="I15" s="77">
        <f>216321.41-H15</f>
        <v>148408.81</v>
      </c>
      <c r="J15" s="77">
        <f>265518.14-I15</f>
        <v>117109.33000000002</v>
      </c>
      <c r="K15" s="20">
        <f t="shared" si="0"/>
        <v>433788.53</v>
      </c>
      <c r="L15" s="5"/>
      <c r="M15" s="47"/>
      <c r="N15" s="48"/>
      <c r="O15" s="120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899999999999999" customHeight="1">
      <c r="A16" s="21"/>
      <c r="B16" s="22"/>
      <c r="C16" s="22"/>
      <c r="D16" s="23"/>
      <c r="E16" s="22"/>
      <c r="F16" s="28"/>
      <c r="G16" s="77" t="s">
        <v>0</v>
      </c>
      <c r="H16" s="77" t="s">
        <v>0</v>
      </c>
      <c r="I16" s="77"/>
      <c r="J16" s="77" t="s">
        <v>0</v>
      </c>
      <c r="K16" s="20" t="s">
        <v>0</v>
      </c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899999999999999" customHeight="1">
      <c r="A17" s="18" t="s">
        <v>22</v>
      </c>
      <c r="B17" s="19"/>
      <c r="C17" s="19" t="s">
        <v>98</v>
      </c>
      <c r="D17" s="26" t="s">
        <v>99</v>
      </c>
      <c r="E17" s="19"/>
      <c r="F17" s="19"/>
      <c r="G17" s="77">
        <v>336.84</v>
      </c>
      <c r="H17" s="77">
        <f>1048.7-G17</f>
        <v>711.86000000000013</v>
      </c>
      <c r="I17" s="77">
        <f>1277.08-H17</f>
        <v>565.2199999999998</v>
      </c>
      <c r="J17" s="77">
        <v>600.34</v>
      </c>
      <c r="K17" s="20">
        <f t="shared" si="0"/>
        <v>2214.2600000000002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899999999999999" customHeight="1">
      <c r="A18" s="21"/>
      <c r="B18" s="22"/>
      <c r="C18" s="22" t="s">
        <v>0</v>
      </c>
      <c r="D18" s="23"/>
      <c r="E18" s="22"/>
      <c r="F18" s="28"/>
      <c r="G18" s="77" t="s">
        <v>0</v>
      </c>
      <c r="H18" s="77" t="s">
        <v>0</v>
      </c>
      <c r="I18" s="77" t="s">
        <v>0</v>
      </c>
      <c r="J18" s="77" t="s">
        <v>0</v>
      </c>
      <c r="K18" s="20" t="s">
        <v>0</v>
      </c>
      <c r="L18" s="6"/>
      <c r="M18" s="4"/>
    </row>
    <row r="19" spans="1:37" ht="19.899999999999999" customHeight="1">
      <c r="A19" s="27">
        <v>0.03</v>
      </c>
      <c r="B19" s="19"/>
      <c r="C19" s="19" t="s">
        <v>100</v>
      </c>
      <c r="D19" s="20"/>
      <c r="E19" s="19"/>
      <c r="F19" s="19"/>
      <c r="G19" s="77">
        <v>19795</v>
      </c>
      <c r="H19" s="77">
        <f>26289-G19</f>
        <v>6494</v>
      </c>
      <c r="I19" s="77">
        <f>51142-H19</f>
        <v>44648</v>
      </c>
      <c r="J19" s="77">
        <f>61283-I19</f>
        <v>16635</v>
      </c>
      <c r="K19" s="20">
        <f t="shared" si="0"/>
        <v>87572</v>
      </c>
      <c r="L19" s="6"/>
      <c r="M19" s="4"/>
    </row>
    <row r="20" spans="1:37" ht="19.899999999999999" customHeight="1">
      <c r="A20" s="21"/>
      <c r="B20" s="22"/>
      <c r="C20" s="22"/>
      <c r="D20" s="23"/>
      <c r="E20" s="22"/>
      <c r="F20" s="28"/>
      <c r="G20" s="77" t="s">
        <v>0</v>
      </c>
      <c r="H20" s="77" t="s">
        <v>0</v>
      </c>
      <c r="I20" s="77" t="s">
        <v>0</v>
      </c>
      <c r="J20" s="77" t="s">
        <v>0</v>
      </c>
      <c r="K20" s="20" t="s">
        <v>0</v>
      </c>
      <c r="L20" s="6"/>
      <c r="M20" s="4"/>
    </row>
    <row r="21" spans="1:37" ht="19.899999999999999" customHeight="1">
      <c r="A21" s="27">
        <v>0.05</v>
      </c>
      <c r="B21" s="19"/>
      <c r="C21" s="19" t="s">
        <v>101</v>
      </c>
      <c r="D21" s="20"/>
      <c r="E21" s="19"/>
      <c r="F21" s="19"/>
      <c r="G21" s="77">
        <v>4627.25</v>
      </c>
      <c r="H21" s="77">
        <f>6177.07-G21</f>
        <v>1549.8199999999997</v>
      </c>
      <c r="I21" s="77">
        <f>8298.41-H21</f>
        <v>6748.59</v>
      </c>
      <c r="J21" s="77">
        <f>12718.74-I21</f>
        <v>5970.15</v>
      </c>
      <c r="K21" s="20">
        <f t="shared" si="0"/>
        <v>18895.809999999998</v>
      </c>
      <c r="L21" s="6"/>
      <c r="M21" s="4" t="s">
        <v>0</v>
      </c>
    </row>
    <row r="22" spans="1:37" ht="19.899999999999999" customHeight="1">
      <c r="A22" s="21"/>
      <c r="B22" s="22"/>
      <c r="C22" s="22"/>
      <c r="D22" s="23"/>
      <c r="E22" s="22"/>
      <c r="F22" s="28"/>
      <c r="G22" s="77" t="s">
        <v>0</v>
      </c>
      <c r="H22" s="77" t="s">
        <v>0</v>
      </c>
      <c r="I22" s="77" t="s">
        <v>0</v>
      </c>
      <c r="J22" s="77" t="s">
        <v>0</v>
      </c>
      <c r="K22" s="20" t="s">
        <v>0</v>
      </c>
      <c r="L22" s="6"/>
      <c r="M22" s="4"/>
    </row>
    <row r="23" spans="1:37" ht="19.899999999999999" customHeight="1">
      <c r="A23" s="24">
        <v>0.05</v>
      </c>
      <c r="B23" s="19"/>
      <c r="C23" s="19" t="s">
        <v>102</v>
      </c>
      <c r="D23" s="20"/>
      <c r="E23" s="19"/>
      <c r="F23" s="19"/>
      <c r="G23" s="77">
        <v>22844</v>
      </c>
      <c r="H23" s="77">
        <v>27273</v>
      </c>
      <c r="I23" s="77">
        <v>28821</v>
      </c>
      <c r="J23" s="77">
        <v>32253</v>
      </c>
      <c r="K23" s="20">
        <f t="shared" si="0"/>
        <v>111191</v>
      </c>
      <c r="L23" s="6"/>
      <c r="M23" s="4"/>
    </row>
    <row r="24" spans="1:37" ht="19.899999999999999" customHeight="1">
      <c r="A24" s="21"/>
      <c r="B24" s="22"/>
      <c r="C24" s="22" t="s">
        <v>0</v>
      </c>
      <c r="D24" s="23"/>
      <c r="E24" s="22"/>
      <c r="F24" s="28"/>
      <c r="G24" s="77"/>
      <c r="H24" s="77" t="s">
        <v>0</v>
      </c>
      <c r="I24" s="77" t="s">
        <v>0</v>
      </c>
      <c r="J24" s="77" t="s">
        <v>0</v>
      </c>
      <c r="K24" s="20" t="s">
        <v>0</v>
      </c>
      <c r="L24" s="6"/>
      <c r="M24" s="4"/>
    </row>
    <row r="25" spans="1:37" ht="19.899999999999999" customHeight="1">
      <c r="A25" s="24">
        <v>0.04</v>
      </c>
      <c r="B25" s="19"/>
      <c r="C25" s="19" t="s">
        <v>103</v>
      </c>
      <c r="D25" s="20"/>
      <c r="E25" s="19"/>
      <c r="F25" s="19"/>
      <c r="G25" s="77">
        <v>157587</v>
      </c>
      <c r="H25" s="77">
        <f>248148-G25</f>
        <v>90561</v>
      </c>
      <c r="I25" s="77">
        <f>316920-H25</f>
        <v>226359</v>
      </c>
      <c r="J25" s="77">
        <f>398514-I25</f>
        <v>172155</v>
      </c>
      <c r="K25" s="20">
        <f t="shared" si="0"/>
        <v>646662</v>
      </c>
      <c r="L25" s="6"/>
      <c r="M25" s="4" t="s">
        <v>0</v>
      </c>
    </row>
    <row r="26" spans="1:37" ht="19.899999999999999" customHeight="1">
      <c r="A26" s="21"/>
      <c r="B26" s="22"/>
      <c r="C26" s="22" t="s">
        <v>0</v>
      </c>
      <c r="D26" s="23"/>
      <c r="E26" s="22"/>
      <c r="F26" s="28"/>
      <c r="G26" s="77" t="s">
        <v>0</v>
      </c>
      <c r="H26" s="77" t="s">
        <v>0</v>
      </c>
      <c r="I26" s="77"/>
      <c r="J26" s="77" t="s">
        <v>0</v>
      </c>
      <c r="K26" s="20" t="s">
        <v>0</v>
      </c>
      <c r="L26" s="6"/>
      <c r="M26" s="4"/>
    </row>
    <row r="27" spans="1:37" ht="19.899999999999999" customHeight="1">
      <c r="A27" s="18" t="s">
        <v>22</v>
      </c>
      <c r="B27" s="19"/>
      <c r="C27" s="19" t="s">
        <v>104</v>
      </c>
      <c r="D27" s="20"/>
      <c r="E27" s="19"/>
      <c r="F27" s="19"/>
      <c r="G27" s="77">
        <v>795</v>
      </c>
      <c r="H27" s="77">
        <f>1776-G27</f>
        <v>981</v>
      </c>
      <c r="I27" s="77">
        <f>2654-H27</f>
        <v>1673</v>
      </c>
      <c r="J27" s="77">
        <f>3699-I27</f>
        <v>2026</v>
      </c>
      <c r="K27" s="20">
        <f t="shared" si="0"/>
        <v>5475</v>
      </c>
      <c r="L27" s="6"/>
      <c r="M27" s="4"/>
    </row>
    <row r="28" spans="1:37" ht="19.899999999999999" customHeight="1">
      <c r="A28" s="21"/>
      <c r="B28" s="22"/>
      <c r="C28" s="22"/>
      <c r="D28" s="23"/>
      <c r="E28" s="22"/>
      <c r="F28" s="28"/>
      <c r="G28" s="77"/>
      <c r="H28" s="77"/>
      <c r="I28" s="77"/>
      <c r="J28" s="77"/>
      <c r="K28" s="20"/>
      <c r="L28" s="6"/>
      <c r="M28" s="4"/>
    </row>
    <row r="29" spans="1:37" ht="19.899999999999999" customHeight="1">
      <c r="A29" s="24">
        <v>0.03</v>
      </c>
      <c r="B29" s="19"/>
      <c r="C29" s="19" t="s">
        <v>129</v>
      </c>
      <c r="D29" s="20"/>
      <c r="E29" s="19"/>
      <c r="F29" s="19"/>
      <c r="G29" s="77">
        <v>0</v>
      </c>
      <c r="H29" s="77">
        <v>453</v>
      </c>
      <c r="I29" s="77">
        <f>2289-H29</f>
        <v>1836</v>
      </c>
      <c r="J29" s="77">
        <f>2546-I29</f>
        <v>710</v>
      </c>
      <c r="K29" s="20">
        <v>2546</v>
      </c>
      <c r="L29" s="6"/>
      <c r="M29" s="4"/>
    </row>
    <row r="30" spans="1:37" ht="19.899999999999999" customHeight="1">
      <c r="A30" s="24">
        <v>0.05</v>
      </c>
      <c r="B30" s="19"/>
      <c r="C30" s="19" t="s">
        <v>65</v>
      </c>
      <c r="D30" s="23"/>
      <c r="E30" s="19"/>
      <c r="F30" s="19"/>
      <c r="G30" s="77">
        <v>88366.57</v>
      </c>
      <c r="H30" s="77">
        <f>156587.58-G30</f>
        <v>68221.00999999998</v>
      </c>
      <c r="I30" s="77">
        <f>208192.15-H30</f>
        <v>139971.14000000001</v>
      </c>
      <c r="J30" s="77">
        <f>269867.05-I30</f>
        <v>129895.90999999997</v>
      </c>
      <c r="K30" s="20">
        <f t="shared" si="0"/>
        <v>426454.62999999995</v>
      </c>
      <c r="L30" s="6"/>
      <c r="M30" s="4"/>
    </row>
    <row r="31" spans="1:37" ht="19.899999999999999" customHeight="1">
      <c r="A31" s="21"/>
      <c r="B31" s="22"/>
      <c r="C31" s="22"/>
      <c r="D31" s="28"/>
      <c r="E31" s="29"/>
      <c r="F31" s="29"/>
      <c r="G31" s="124"/>
      <c r="H31" s="124"/>
      <c r="I31" s="77" t="s">
        <v>0</v>
      </c>
      <c r="J31" s="77" t="s">
        <v>0</v>
      </c>
      <c r="K31" s="20" t="s">
        <v>0</v>
      </c>
      <c r="L31" s="6"/>
      <c r="M31" s="4"/>
    </row>
    <row r="32" spans="1:37" ht="17.25" thickBot="1">
      <c r="A32" s="30"/>
      <c r="B32" s="31"/>
      <c r="C32" s="31" t="s">
        <v>105</v>
      </c>
      <c r="D32" s="32"/>
      <c r="E32" s="31"/>
      <c r="F32" s="31"/>
      <c r="G32" s="74">
        <f>SUM(G9:G31)</f>
        <v>454902.45</v>
      </c>
      <c r="H32" s="74">
        <f>SUM(H9:H31)</f>
        <v>308588.29000000004</v>
      </c>
      <c r="I32" s="74">
        <f>SUM(I9:I31)</f>
        <v>660746.76</v>
      </c>
      <c r="J32" s="77">
        <f>SUM(J9:J31)</f>
        <v>539346.73</v>
      </c>
      <c r="K32" s="20">
        <f t="shared" si="0"/>
        <v>1963584.23</v>
      </c>
      <c r="L32" s="4"/>
      <c r="M32" s="4"/>
    </row>
    <row r="33" spans="1:13" s="4" customFormat="1" ht="15.75" thickTop="1">
      <c r="A33" s="5"/>
      <c r="B33" s="6"/>
      <c r="C33" s="6"/>
      <c r="D33" s="6"/>
      <c r="E33" s="6"/>
      <c r="F33" s="6"/>
      <c r="G33" s="6"/>
      <c r="H33" s="6"/>
      <c r="I33" s="33"/>
      <c r="J33" s="33"/>
      <c r="K33" s="7">
        <f>G32+H32+I32+J32</f>
        <v>1963584.23</v>
      </c>
    </row>
    <row r="34" spans="1:13" s="4" customFormat="1" ht="15.75">
      <c r="A34" s="34">
        <v>1</v>
      </c>
      <c r="B34" s="35"/>
      <c r="C34" s="6" t="s">
        <v>106</v>
      </c>
      <c r="D34" s="6"/>
      <c r="E34" s="6"/>
      <c r="F34" s="6"/>
      <c r="G34" s="6"/>
      <c r="H34" s="6"/>
      <c r="I34" s="6"/>
      <c r="J34" s="6"/>
      <c r="K34" s="7"/>
    </row>
    <row r="35" spans="1:13" ht="15.75">
      <c r="A35" s="36"/>
      <c r="B35" s="6"/>
      <c r="C35" s="6"/>
      <c r="D35" s="6"/>
      <c r="E35" s="6"/>
      <c r="F35" s="6"/>
      <c r="G35" s="6"/>
      <c r="H35" s="6"/>
      <c r="I35" s="6"/>
      <c r="J35" s="6"/>
      <c r="K35" s="7"/>
      <c r="L35" s="4"/>
      <c r="M35" s="4"/>
    </row>
    <row r="36" spans="1:13">
      <c r="A36" s="37"/>
      <c r="B36" s="38"/>
      <c r="C36" s="38"/>
      <c r="D36" s="38"/>
      <c r="E36" s="38"/>
      <c r="F36" s="38"/>
      <c r="G36" s="38"/>
      <c r="H36" s="38"/>
      <c r="I36" s="84"/>
      <c r="J36" s="38"/>
      <c r="K36" s="39"/>
    </row>
    <row r="39" spans="1:13" ht="15.75">
      <c r="C39" s="4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20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7734375" defaultRowHeight="14.25"/>
  <cols>
    <col min="1" max="2" width="6.44140625" style="65" customWidth="1"/>
    <col min="3" max="3" width="29.109375" style="65" customWidth="1"/>
    <col min="4" max="4" width="11.6640625" style="65" customWidth="1"/>
    <col min="5" max="5" width="13.5546875" style="65" customWidth="1"/>
    <col min="6" max="6" width="13.21875" style="65" customWidth="1"/>
    <col min="7" max="7" width="12.77734375" style="65" customWidth="1"/>
    <col min="8" max="8" width="14.77734375" style="65" customWidth="1"/>
    <col min="9" max="9" width="8.77734375" style="65"/>
    <col min="10" max="11" width="9.6640625" style="65" bestFit="1" customWidth="1"/>
    <col min="12" max="16384" width="8.77734375" style="65"/>
  </cols>
  <sheetData>
    <row r="1" spans="1:10" s="52" customFormat="1">
      <c r="A1" s="50" t="s">
        <v>0</v>
      </c>
      <c r="B1" s="51"/>
      <c r="C1" s="51"/>
      <c r="D1" s="51" t="s">
        <v>1</v>
      </c>
      <c r="E1" s="51"/>
      <c r="F1" s="51"/>
      <c r="G1" s="51"/>
      <c r="H1" s="86">
        <f ca="1">NOW()</f>
        <v>43494.548466203705</v>
      </c>
    </row>
    <row r="2" spans="1:10" s="52" customFormat="1">
      <c r="A2" s="53" t="s">
        <v>0</v>
      </c>
      <c r="B2" s="78"/>
      <c r="D2" s="52" t="s">
        <v>107</v>
      </c>
      <c r="H2" s="54"/>
    </row>
    <row r="3" spans="1:10" s="52" customFormat="1">
      <c r="A3" s="53" t="s">
        <v>0</v>
      </c>
      <c r="B3" s="78"/>
      <c r="D3" s="52" t="s">
        <v>113</v>
      </c>
      <c r="H3" s="54"/>
    </row>
    <row r="4" spans="1:10" s="52" customFormat="1">
      <c r="A4" s="81" t="s">
        <v>2</v>
      </c>
      <c r="B4" s="82"/>
      <c r="C4" s="82" t="s">
        <v>2</v>
      </c>
      <c r="D4" s="82" t="s">
        <v>2</v>
      </c>
      <c r="E4" s="82" t="s">
        <v>2</v>
      </c>
      <c r="F4" s="82" t="s">
        <v>2</v>
      </c>
      <c r="G4" s="82" t="s">
        <v>2</v>
      </c>
      <c r="H4" s="83" t="s">
        <v>2</v>
      </c>
    </row>
    <row r="5" spans="1:10" s="52" customFormat="1">
      <c r="A5" s="53"/>
      <c r="B5" s="78"/>
      <c r="C5" s="87"/>
      <c r="D5" s="88" t="s">
        <v>3</v>
      </c>
      <c r="E5" s="88" t="s">
        <v>4</v>
      </c>
      <c r="F5" s="88" t="s">
        <v>5</v>
      </c>
      <c r="G5" s="88" t="s">
        <v>6</v>
      </c>
      <c r="H5" s="89"/>
    </row>
    <row r="6" spans="1:10" s="52" customFormat="1">
      <c r="A6" s="53"/>
      <c r="B6" s="78"/>
      <c r="C6" s="87"/>
      <c r="D6" s="88" t="s">
        <v>7</v>
      </c>
      <c r="E6" s="88" t="s">
        <v>8</v>
      </c>
      <c r="F6" s="88" t="s">
        <v>7</v>
      </c>
      <c r="G6" s="88" t="s">
        <v>72</v>
      </c>
      <c r="H6" s="90" t="s">
        <v>9</v>
      </c>
    </row>
    <row r="7" spans="1:10" s="52" customFormat="1">
      <c r="A7" s="80"/>
      <c r="B7" s="218"/>
      <c r="C7" s="91" t="s">
        <v>10</v>
      </c>
      <c r="D7" s="92" t="s">
        <v>11</v>
      </c>
      <c r="E7" s="92" t="s">
        <v>12</v>
      </c>
      <c r="F7" s="93" t="s">
        <v>13</v>
      </c>
      <c r="G7" s="92" t="s">
        <v>14</v>
      </c>
      <c r="H7" s="94" t="s">
        <v>15</v>
      </c>
      <c r="I7" s="52" t="s">
        <v>0</v>
      </c>
    </row>
    <row r="8" spans="1:10" s="52" customFormat="1" ht="15">
      <c r="A8" s="95" t="s">
        <v>16</v>
      </c>
      <c r="B8" s="170" t="s">
        <v>16</v>
      </c>
      <c r="C8" s="96" t="s">
        <v>17</v>
      </c>
      <c r="D8" s="97">
        <v>131390</v>
      </c>
      <c r="E8" s="97">
        <f>223053-D8</f>
        <v>91663</v>
      </c>
      <c r="F8" s="97">
        <v>73477.34</v>
      </c>
      <c r="G8" s="97">
        <f>517735-F8</f>
        <v>444257.66000000003</v>
      </c>
      <c r="H8" s="100">
        <f>D8+E8+F8+G8</f>
        <v>740788</v>
      </c>
      <c r="I8" s="52" t="s">
        <v>0</v>
      </c>
    </row>
    <row r="9" spans="1:10" s="144" customFormat="1" ht="15">
      <c r="A9" s="143">
        <v>0.05</v>
      </c>
      <c r="B9" s="174">
        <v>0.05</v>
      </c>
      <c r="C9" s="103" t="s">
        <v>77</v>
      </c>
      <c r="D9" s="123">
        <v>2692022</v>
      </c>
      <c r="E9" s="123">
        <f>5405159-D9</f>
        <v>2713137</v>
      </c>
      <c r="F9" s="123">
        <v>2193185.06</v>
      </c>
      <c r="G9" s="123">
        <f>9121338-F9</f>
        <v>6928152.9399999995</v>
      </c>
      <c r="H9" s="100">
        <f t="shared" ref="H9:H72" si="0">D9+E9+F9+G9</f>
        <v>14526497</v>
      </c>
    </row>
    <row r="10" spans="1:10" s="144" customFormat="1" ht="15">
      <c r="A10" s="143">
        <v>0.01</v>
      </c>
      <c r="B10" s="174">
        <v>0.01</v>
      </c>
      <c r="C10" s="103" t="s">
        <v>80</v>
      </c>
      <c r="D10" s="123">
        <v>538427</v>
      </c>
      <c r="E10" s="123">
        <f>1081055-D10</f>
        <v>542628</v>
      </c>
      <c r="F10" s="123">
        <f>1263536-E10</f>
        <v>720908</v>
      </c>
      <c r="G10" s="123">
        <f>1824238-F10</f>
        <v>1103330</v>
      </c>
      <c r="H10" s="100">
        <f t="shared" si="0"/>
        <v>2905293</v>
      </c>
    </row>
    <row r="11" spans="1:10" s="52" customFormat="1" ht="15">
      <c r="A11" s="95" t="s">
        <v>16</v>
      </c>
      <c r="B11" s="170" t="s">
        <v>16</v>
      </c>
      <c r="C11" s="99" t="s">
        <v>18</v>
      </c>
      <c r="D11" s="97">
        <v>38652</v>
      </c>
      <c r="E11" s="123">
        <f>53975-D11</f>
        <v>15323</v>
      </c>
      <c r="F11" s="123">
        <f>186633-E11</f>
        <v>171310</v>
      </c>
      <c r="G11" s="123">
        <f>244506-F11</f>
        <v>73196</v>
      </c>
      <c r="H11" s="100">
        <f t="shared" si="0"/>
        <v>298481</v>
      </c>
      <c r="I11" s="52" t="s">
        <v>0</v>
      </c>
      <c r="J11" s="78"/>
    </row>
    <row r="12" spans="1:10" s="52" customFormat="1" ht="15">
      <c r="A12" s="95" t="s">
        <v>16</v>
      </c>
      <c r="B12" s="170" t="s">
        <v>16</v>
      </c>
      <c r="C12" s="99" t="s">
        <v>19</v>
      </c>
      <c r="D12" s="123">
        <v>73809</v>
      </c>
      <c r="E12" s="123">
        <f>121647-D12</f>
        <v>47838</v>
      </c>
      <c r="F12" s="97">
        <f>193832-E12</f>
        <v>145994</v>
      </c>
      <c r="G12" s="123">
        <f>290995-F12</f>
        <v>145001</v>
      </c>
      <c r="H12" s="100">
        <f t="shared" si="0"/>
        <v>412642</v>
      </c>
    </row>
    <row r="13" spans="1:10" s="52" customFormat="1" ht="15">
      <c r="A13" s="95" t="s">
        <v>16</v>
      </c>
      <c r="B13" s="170" t="s">
        <v>16</v>
      </c>
      <c r="C13" s="99" t="s">
        <v>20</v>
      </c>
      <c r="D13" s="123">
        <v>2266.46</v>
      </c>
      <c r="E13" s="123">
        <f>5607.88-D13</f>
        <v>3341.42</v>
      </c>
      <c r="F13" s="97">
        <f>7198.58-E13</f>
        <v>3857.16</v>
      </c>
      <c r="G13" s="97">
        <f>10924.73-F13</f>
        <v>7067.57</v>
      </c>
      <c r="H13" s="100">
        <f t="shared" si="0"/>
        <v>16532.61</v>
      </c>
    </row>
    <row r="14" spans="1:10" s="52" customFormat="1" ht="15">
      <c r="A14" s="101">
        <v>0.04</v>
      </c>
      <c r="B14" s="183">
        <v>0.04</v>
      </c>
      <c r="C14" s="99" t="s">
        <v>21</v>
      </c>
      <c r="D14" s="97">
        <v>8087</v>
      </c>
      <c r="E14" s="123">
        <f>18456-D14</f>
        <v>10369</v>
      </c>
      <c r="F14" s="123">
        <v>8581.85</v>
      </c>
      <c r="G14" s="123">
        <f>32277-F14</f>
        <v>23695.15</v>
      </c>
      <c r="H14" s="100">
        <f t="shared" si="0"/>
        <v>50733</v>
      </c>
    </row>
    <row r="15" spans="1:10" s="52" customFormat="1" ht="15">
      <c r="A15" s="95" t="s">
        <v>22</v>
      </c>
      <c r="B15" s="170" t="s">
        <v>22</v>
      </c>
      <c r="C15" s="99" t="s">
        <v>23</v>
      </c>
      <c r="D15" s="123">
        <v>28128</v>
      </c>
      <c r="E15" s="97">
        <v>27183</v>
      </c>
      <c r="F15" s="123">
        <f>73937-E15</f>
        <v>46754</v>
      </c>
      <c r="G15" s="97">
        <f>98344-F15</f>
        <v>51590</v>
      </c>
      <c r="H15" s="100">
        <f t="shared" si="0"/>
        <v>153655</v>
      </c>
    </row>
    <row r="16" spans="1:10" s="52" customFormat="1" ht="15">
      <c r="A16" s="101">
        <v>0.03</v>
      </c>
      <c r="B16" s="183">
        <v>0.03</v>
      </c>
      <c r="C16" s="99" t="s">
        <v>74</v>
      </c>
      <c r="D16" s="97">
        <v>16702</v>
      </c>
      <c r="E16" s="123">
        <f>33110-D16</f>
        <v>16408</v>
      </c>
      <c r="F16" s="123">
        <f>42237-E16</f>
        <v>25829</v>
      </c>
      <c r="G16" s="123">
        <f>56845-F16</f>
        <v>31016</v>
      </c>
      <c r="H16" s="100">
        <f t="shared" si="0"/>
        <v>89955</v>
      </c>
    </row>
    <row r="17" spans="1:9" s="52" customFormat="1" ht="15">
      <c r="A17" s="101">
        <v>0.03</v>
      </c>
      <c r="B17" s="183">
        <v>0.03</v>
      </c>
      <c r="C17" s="99" t="s">
        <v>75</v>
      </c>
      <c r="D17" s="123">
        <v>179.03</v>
      </c>
      <c r="E17" s="123">
        <f>5035.36-D17</f>
        <v>4856.33</v>
      </c>
      <c r="F17" s="97">
        <v>3295.94</v>
      </c>
      <c r="G17" s="97">
        <v>3379.85</v>
      </c>
      <c r="H17" s="100">
        <f t="shared" si="0"/>
        <v>11711.15</v>
      </c>
    </row>
    <row r="18" spans="1:9" s="52" customFormat="1" ht="15">
      <c r="A18" s="101">
        <v>0.05</v>
      </c>
      <c r="B18" s="183">
        <v>0.05</v>
      </c>
      <c r="C18" s="99" t="s">
        <v>24</v>
      </c>
      <c r="D18" s="97">
        <v>315385</v>
      </c>
      <c r="E18" s="97">
        <f>594121-D18</f>
        <v>278736</v>
      </c>
      <c r="F18" s="123">
        <f>844966-E18</f>
        <v>566230</v>
      </c>
      <c r="G18" s="123">
        <f>1162524-F18</f>
        <v>596294</v>
      </c>
      <c r="H18" s="100">
        <f t="shared" si="0"/>
        <v>1756645</v>
      </c>
    </row>
    <row r="19" spans="1:9" s="52" customFormat="1" ht="15">
      <c r="A19" s="95" t="s">
        <v>22</v>
      </c>
      <c r="B19" s="170" t="s">
        <v>22</v>
      </c>
      <c r="C19" s="99" t="s">
        <v>25</v>
      </c>
      <c r="D19" s="123">
        <v>1784</v>
      </c>
      <c r="E19" s="97">
        <f>3118-D19</f>
        <v>1334</v>
      </c>
      <c r="F19" s="123">
        <f>5004-E19</f>
        <v>3670</v>
      </c>
      <c r="G19" s="123">
        <f>7336-F19</f>
        <v>3666</v>
      </c>
      <c r="H19" s="100">
        <f t="shared" si="0"/>
        <v>10454</v>
      </c>
    </row>
    <row r="20" spans="1:9" s="52" customFormat="1" ht="15">
      <c r="A20" s="101">
        <v>0.04</v>
      </c>
      <c r="B20" s="183">
        <v>0.04</v>
      </c>
      <c r="C20" s="99" t="s">
        <v>26</v>
      </c>
      <c r="D20" s="123">
        <v>42196</v>
      </c>
      <c r="E20" s="97">
        <f>70625-D20</f>
        <v>28429</v>
      </c>
      <c r="F20" s="123">
        <f>75318-E20</f>
        <v>46889</v>
      </c>
      <c r="G20" s="123">
        <f>82753-F20</f>
        <v>35864</v>
      </c>
      <c r="H20" s="100">
        <f t="shared" si="0"/>
        <v>153378</v>
      </c>
    </row>
    <row r="21" spans="1:9" s="52" customFormat="1" ht="15">
      <c r="A21" s="95" t="s">
        <v>27</v>
      </c>
      <c r="B21" s="170" t="s">
        <v>27</v>
      </c>
      <c r="C21" s="99" t="s">
        <v>28</v>
      </c>
      <c r="D21" s="97">
        <v>9351</v>
      </c>
      <c r="E21" s="97">
        <f>14210-D21</f>
        <v>4859</v>
      </c>
      <c r="F21" s="123">
        <f>17427-E21</f>
        <v>12568</v>
      </c>
      <c r="G21" s="97">
        <f>22966-F21</f>
        <v>10398</v>
      </c>
      <c r="H21" s="100">
        <f t="shared" si="0"/>
        <v>37176</v>
      </c>
    </row>
    <row r="22" spans="1:9" s="52" customFormat="1" ht="15">
      <c r="A22" s="101">
        <v>0.05</v>
      </c>
      <c r="B22" s="183">
        <v>0.05</v>
      </c>
      <c r="C22" s="99" t="s">
        <v>29</v>
      </c>
      <c r="D22" s="97">
        <v>46157.96</v>
      </c>
      <c r="E22" s="97">
        <f>75853.53-D22</f>
        <v>29695.57</v>
      </c>
      <c r="F22" s="97">
        <f>95847.2-E22</f>
        <v>66151.63</v>
      </c>
      <c r="G22" s="97">
        <f>123214-F22</f>
        <v>57062.369999999995</v>
      </c>
      <c r="H22" s="100">
        <f t="shared" si="0"/>
        <v>199067.53</v>
      </c>
    </row>
    <row r="23" spans="1:9" s="52" customFormat="1" ht="15">
      <c r="A23" s="101">
        <v>0.05</v>
      </c>
      <c r="B23" s="183">
        <v>0.05</v>
      </c>
      <c r="C23" s="99" t="s">
        <v>76</v>
      </c>
      <c r="D23" s="97">
        <v>44067</v>
      </c>
      <c r="E23" s="97">
        <f>73007-D23</f>
        <v>28940</v>
      </c>
      <c r="F23" s="123">
        <f>95325-E23</f>
        <v>66385</v>
      </c>
      <c r="G23" s="97">
        <f>118784-F23</f>
        <v>52399</v>
      </c>
      <c r="H23" s="100">
        <f t="shared" si="0"/>
        <v>191791</v>
      </c>
    </row>
    <row r="24" spans="1:9" s="52" customFormat="1" ht="15">
      <c r="A24" s="101">
        <v>0.05</v>
      </c>
      <c r="B24" s="183">
        <v>0.05</v>
      </c>
      <c r="C24" s="99" t="s">
        <v>30</v>
      </c>
      <c r="D24" s="97">
        <v>157671</v>
      </c>
      <c r="E24" s="97">
        <v>144182</v>
      </c>
      <c r="F24" s="97">
        <f>410093-E24</f>
        <v>265911</v>
      </c>
      <c r="G24" s="97">
        <f>535054-F24</f>
        <v>269143</v>
      </c>
      <c r="H24" s="100">
        <f t="shared" si="0"/>
        <v>836907</v>
      </c>
    </row>
    <row r="25" spans="1:9" s="52" customFormat="1" ht="15">
      <c r="A25" s="101">
        <v>0.05</v>
      </c>
      <c r="B25" s="183">
        <v>0.05</v>
      </c>
      <c r="C25" s="99" t="s">
        <v>31</v>
      </c>
      <c r="D25" s="123">
        <v>655</v>
      </c>
      <c r="E25" s="123">
        <f>1157-D25</f>
        <v>502</v>
      </c>
      <c r="F25" s="123">
        <f>1407-E25</f>
        <v>905</v>
      </c>
      <c r="G25" s="123">
        <f>2403-F25</f>
        <v>1498</v>
      </c>
      <c r="H25" s="100">
        <f t="shared" si="0"/>
        <v>3560</v>
      </c>
      <c r="I25" s="52" t="s">
        <v>0</v>
      </c>
    </row>
    <row r="26" spans="1:9" s="52" customFormat="1" ht="15">
      <c r="A26" s="104">
        <v>3.5000000000000003E-2</v>
      </c>
      <c r="B26" s="184">
        <v>3.5000000000000003E-2</v>
      </c>
      <c r="C26" s="99" t="s">
        <v>73</v>
      </c>
      <c r="D26" s="123">
        <v>1714</v>
      </c>
      <c r="E26" s="123">
        <f>3249-D26</f>
        <v>1535</v>
      </c>
      <c r="F26" s="123">
        <f>4286-E26</f>
        <v>2751</v>
      </c>
      <c r="G26" s="123">
        <f>5950-F26</f>
        <v>3199</v>
      </c>
      <c r="H26" s="100">
        <f t="shared" si="0"/>
        <v>9199</v>
      </c>
    </row>
    <row r="27" spans="1:9" s="52" customFormat="1" ht="15">
      <c r="A27" s="95" t="s">
        <v>22</v>
      </c>
      <c r="B27" s="170" t="s">
        <v>22</v>
      </c>
      <c r="C27" s="99" t="s">
        <v>32</v>
      </c>
      <c r="D27" s="123">
        <v>1489</v>
      </c>
      <c r="E27" s="97">
        <f>8493-D27</f>
        <v>7004</v>
      </c>
      <c r="F27" s="123">
        <v>6758</v>
      </c>
      <c r="G27" s="123">
        <v>9705</v>
      </c>
      <c r="H27" s="100">
        <f t="shared" si="0"/>
        <v>24956</v>
      </c>
    </row>
    <row r="28" spans="1:9" s="52" customFormat="1" ht="15">
      <c r="A28" s="105" t="s">
        <v>16</v>
      </c>
      <c r="B28" s="185" t="s">
        <v>16</v>
      </c>
      <c r="C28" s="106" t="s">
        <v>79</v>
      </c>
      <c r="D28" s="121">
        <v>104047</v>
      </c>
      <c r="E28" s="97">
        <f>198592-D28</f>
        <v>94545</v>
      </c>
      <c r="F28" s="123">
        <f>305015-E28</f>
        <v>210470</v>
      </c>
      <c r="G28" s="97">
        <f>409310-F28</f>
        <v>198840</v>
      </c>
      <c r="H28" s="100">
        <f t="shared" si="0"/>
        <v>607902</v>
      </c>
    </row>
    <row r="29" spans="1:9" s="52" customFormat="1" ht="15">
      <c r="A29" s="95" t="s">
        <v>22</v>
      </c>
      <c r="B29" s="170" t="s">
        <v>22</v>
      </c>
      <c r="C29" s="99" t="s">
        <v>33</v>
      </c>
      <c r="D29" s="97">
        <v>15724</v>
      </c>
      <c r="E29" s="97">
        <f>22682-D29</f>
        <v>6958</v>
      </c>
      <c r="F29" s="97">
        <f>27738-E29</f>
        <v>20780</v>
      </c>
      <c r="G29" s="97">
        <f>32434-F29</f>
        <v>11654</v>
      </c>
      <c r="H29" s="100">
        <f t="shared" si="0"/>
        <v>55116</v>
      </c>
    </row>
    <row r="30" spans="1:9" s="52" customFormat="1" ht="15">
      <c r="A30" s="101">
        <v>0.05</v>
      </c>
      <c r="B30" s="183">
        <v>0.05</v>
      </c>
      <c r="C30" s="99" t="s">
        <v>71</v>
      </c>
      <c r="D30" s="97">
        <v>12053.79</v>
      </c>
      <c r="E30" s="97">
        <f>20415.54-D30</f>
        <v>8361.75</v>
      </c>
      <c r="F30" s="123">
        <f>24626-E30</f>
        <v>16264.25</v>
      </c>
      <c r="G30" s="97">
        <f>31113-F30</f>
        <v>14848.75</v>
      </c>
      <c r="H30" s="100">
        <f t="shared" si="0"/>
        <v>51528.54</v>
      </c>
    </row>
    <row r="31" spans="1:9" s="52" customFormat="1" ht="15">
      <c r="A31" s="101">
        <v>0.05</v>
      </c>
      <c r="B31" s="183">
        <v>0.05</v>
      </c>
      <c r="C31" s="99" t="s">
        <v>34</v>
      </c>
      <c r="D31" s="123">
        <v>13668</v>
      </c>
      <c r="E31" s="123">
        <f>32253-D31</f>
        <v>18585</v>
      </c>
      <c r="F31" s="123">
        <f>35674-E31</f>
        <v>17089</v>
      </c>
      <c r="G31" s="123">
        <f>37009-F31</f>
        <v>19920</v>
      </c>
      <c r="H31" s="100">
        <f t="shared" si="0"/>
        <v>69262</v>
      </c>
    </row>
    <row r="32" spans="1:9" s="52" customFormat="1" ht="15.75">
      <c r="A32" s="95" t="s">
        <v>16</v>
      </c>
      <c r="B32" s="170" t="s">
        <v>16</v>
      </c>
      <c r="C32" s="99" t="s">
        <v>35</v>
      </c>
      <c r="D32" s="122">
        <v>300793</v>
      </c>
      <c r="E32" s="97">
        <f>616445-D32</f>
        <v>315652</v>
      </c>
      <c r="F32" s="97">
        <f>892614-E32</f>
        <v>576962</v>
      </c>
      <c r="G32" s="97">
        <f>1235675-F32</f>
        <v>658713</v>
      </c>
      <c r="H32" s="100">
        <f t="shared" si="0"/>
        <v>1852120</v>
      </c>
    </row>
    <row r="33" spans="1:8" s="52" customFormat="1" ht="15">
      <c r="A33" s="95" t="s">
        <v>16</v>
      </c>
      <c r="B33" s="170" t="s">
        <v>16</v>
      </c>
      <c r="C33" s="99" t="s">
        <v>36</v>
      </c>
      <c r="D33" s="97">
        <v>7276</v>
      </c>
      <c r="E33" s="97">
        <f>15095-D33</f>
        <v>7819</v>
      </c>
      <c r="F33" s="97">
        <f>18507-E33</f>
        <v>10688</v>
      </c>
      <c r="G33" s="97">
        <f>25941-F33</f>
        <v>15253</v>
      </c>
      <c r="H33" s="100">
        <f t="shared" si="0"/>
        <v>41036</v>
      </c>
    </row>
    <row r="34" spans="1:8" s="52" customFormat="1" ht="15">
      <c r="A34" s="95" t="s">
        <v>16</v>
      </c>
      <c r="B34" s="170" t="s">
        <v>16</v>
      </c>
      <c r="C34" s="99" t="s">
        <v>37</v>
      </c>
      <c r="D34" s="123">
        <v>287145</v>
      </c>
      <c r="E34" s="123">
        <f>811736-D34</f>
        <v>524591</v>
      </c>
      <c r="F34" s="123">
        <f>1041638-E34</f>
        <v>517047</v>
      </c>
      <c r="G34" s="123">
        <f>1384599-F34</f>
        <v>867552</v>
      </c>
      <c r="H34" s="100">
        <f t="shared" si="0"/>
        <v>2196335</v>
      </c>
    </row>
    <row r="35" spans="1:8" s="52" customFormat="1" ht="15">
      <c r="A35" s="95" t="s">
        <v>16</v>
      </c>
      <c r="B35" s="170" t="s">
        <v>16</v>
      </c>
      <c r="C35" s="99" t="s">
        <v>38</v>
      </c>
      <c r="D35" s="97">
        <v>120168</v>
      </c>
      <c r="E35" s="97">
        <f>202172-D35</f>
        <v>82004</v>
      </c>
      <c r="F35" s="97">
        <f>294382-E35</f>
        <v>212378</v>
      </c>
      <c r="G35" s="97">
        <f>402436-F35</f>
        <v>190058</v>
      </c>
      <c r="H35" s="100">
        <f t="shared" si="0"/>
        <v>604608</v>
      </c>
    </row>
    <row r="36" spans="1:8" s="52" customFormat="1" ht="15">
      <c r="A36" s="95" t="s">
        <v>22</v>
      </c>
      <c r="B36" s="170" t="s">
        <v>22</v>
      </c>
      <c r="C36" s="99" t="s">
        <v>39</v>
      </c>
      <c r="D36" s="97">
        <v>66.98</v>
      </c>
      <c r="E36" s="97">
        <f>418.13-D36</f>
        <v>351.15</v>
      </c>
      <c r="F36" s="97">
        <f>742.27-E36</f>
        <v>391.12</v>
      </c>
      <c r="G36" s="123">
        <f>1066-F36</f>
        <v>674.88</v>
      </c>
      <c r="H36" s="100">
        <f t="shared" si="0"/>
        <v>1484.13</v>
      </c>
    </row>
    <row r="37" spans="1:8" s="52" customFormat="1" ht="15">
      <c r="A37" s="101">
        <v>0.05</v>
      </c>
      <c r="B37" s="183">
        <v>0.05</v>
      </c>
      <c r="C37" s="99" t="s">
        <v>40</v>
      </c>
      <c r="D37" s="97">
        <v>290957</v>
      </c>
      <c r="E37" s="97">
        <f>589063-D37</f>
        <v>298106</v>
      </c>
      <c r="F37" s="123">
        <f>907979-E37</f>
        <v>609873</v>
      </c>
      <c r="G37" s="97">
        <f>1239044-F37</f>
        <v>629171</v>
      </c>
      <c r="H37" s="100">
        <f t="shared" si="0"/>
        <v>1828107</v>
      </c>
    </row>
    <row r="38" spans="1:8" s="52" customFormat="1" ht="15">
      <c r="A38" s="101">
        <v>0.03</v>
      </c>
      <c r="B38" s="183">
        <v>0.03</v>
      </c>
      <c r="C38" s="99" t="s">
        <v>41</v>
      </c>
      <c r="D38" s="123">
        <v>1219</v>
      </c>
      <c r="E38" s="97">
        <f>2166-D38</f>
        <v>947</v>
      </c>
      <c r="F38" s="123">
        <f>2635-E38</f>
        <v>1688</v>
      </c>
      <c r="G38" s="97">
        <f>3423-F38</f>
        <v>1735</v>
      </c>
      <c r="H38" s="100">
        <f t="shared" si="0"/>
        <v>5589</v>
      </c>
    </row>
    <row r="39" spans="1:8" s="52" customFormat="1" ht="15">
      <c r="A39" s="95" t="s">
        <v>16</v>
      </c>
      <c r="B39" s="170" t="s">
        <v>16</v>
      </c>
      <c r="C39" s="99" t="s">
        <v>42</v>
      </c>
      <c r="D39" s="123">
        <v>3370</v>
      </c>
      <c r="E39" s="97">
        <f>6908-D39</f>
        <v>3538</v>
      </c>
      <c r="F39" s="97">
        <f>8894-E39</f>
        <v>5356</v>
      </c>
      <c r="G39" s="123">
        <f>12496-F39</f>
        <v>7140</v>
      </c>
      <c r="H39" s="100">
        <f t="shared" si="0"/>
        <v>19404</v>
      </c>
    </row>
    <row r="40" spans="1:8" s="52" customFormat="1" ht="15">
      <c r="A40" s="95" t="s">
        <v>16</v>
      </c>
      <c r="B40" s="170" t="s">
        <v>16</v>
      </c>
      <c r="C40" s="99" t="s">
        <v>43</v>
      </c>
      <c r="D40" s="123">
        <v>482662</v>
      </c>
      <c r="E40" s="123">
        <f>977411-D40</f>
        <v>494749</v>
      </c>
      <c r="F40" s="123">
        <f>1423284-E40</f>
        <v>928535</v>
      </c>
      <c r="G40" s="123">
        <f>1990946-F40</f>
        <v>1062411</v>
      </c>
      <c r="H40" s="100">
        <f t="shared" si="0"/>
        <v>2968357</v>
      </c>
    </row>
    <row r="41" spans="1:8" s="52" customFormat="1" ht="15">
      <c r="A41" s="95" t="s">
        <v>111</v>
      </c>
      <c r="B41" s="220">
        <v>2.5</v>
      </c>
      <c r="C41" s="99" t="s">
        <v>142</v>
      </c>
      <c r="D41" s="123">
        <v>328413</v>
      </c>
      <c r="E41" s="123">
        <f>647491.91-D41</f>
        <v>319078.91000000003</v>
      </c>
      <c r="F41" s="123">
        <f>944207.9-E41</f>
        <v>625128.99</v>
      </c>
      <c r="G41" s="123">
        <f>1315370-F41</f>
        <v>690241.01</v>
      </c>
      <c r="H41" s="100">
        <f t="shared" si="0"/>
        <v>1962861.91</v>
      </c>
    </row>
    <row r="42" spans="1:8" s="52" customFormat="1" ht="15">
      <c r="A42" s="95" t="s">
        <v>27</v>
      </c>
      <c r="B42" s="170" t="s">
        <v>27</v>
      </c>
      <c r="C42" s="99" t="s">
        <v>44</v>
      </c>
      <c r="D42" s="97">
        <v>82835</v>
      </c>
      <c r="E42" s="97">
        <f>133991-D42</f>
        <v>51156</v>
      </c>
      <c r="F42" s="123">
        <f>183267-E42</f>
        <v>132111</v>
      </c>
      <c r="G42" s="123">
        <f>242320-F42</f>
        <v>110209</v>
      </c>
      <c r="H42" s="100">
        <f t="shared" si="0"/>
        <v>376311</v>
      </c>
    </row>
    <row r="43" spans="1:8" s="52" customFormat="1" ht="15">
      <c r="A43" s="95" t="s">
        <v>22</v>
      </c>
      <c r="B43" s="170" t="s">
        <v>22</v>
      </c>
      <c r="C43" s="99" t="s">
        <v>45</v>
      </c>
      <c r="D43" s="97">
        <v>3305</v>
      </c>
      <c r="E43" s="97">
        <f>6022-D43</f>
        <v>2717</v>
      </c>
      <c r="F43" s="97">
        <f>6969-E43</f>
        <v>4252</v>
      </c>
      <c r="G43" s="97">
        <f>9400-F43</f>
        <v>5148</v>
      </c>
      <c r="H43" s="100">
        <f t="shared" si="0"/>
        <v>15422</v>
      </c>
    </row>
    <row r="44" spans="1:8" s="52" customFormat="1" ht="15">
      <c r="A44" s="95" t="s">
        <v>16</v>
      </c>
      <c r="B44" s="170" t="s">
        <v>16</v>
      </c>
      <c r="C44" s="99" t="s">
        <v>46</v>
      </c>
      <c r="D44" s="123">
        <v>54494.65</v>
      </c>
      <c r="E44" s="123">
        <f>116507-D44</f>
        <v>62012.35</v>
      </c>
      <c r="F44" s="123">
        <f>174155-E44</f>
        <v>112142.65</v>
      </c>
      <c r="G44" s="123">
        <f>222635-F44</f>
        <v>110492.35</v>
      </c>
      <c r="H44" s="100">
        <f t="shared" si="0"/>
        <v>339142</v>
      </c>
    </row>
    <row r="45" spans="1:8" s="52" customFormat="1" ht="15">
      <c r="A45" s="95" t="s">
        <v>27</v>
      </c>
      <c r="B45" s="170" t="s">
        <v>27</v>
      </c>
      <c r="C45" s="99" t="s">
        <v>48</v>
      </c>
      <c r="D45" s="123">
        <v>22451.41</v>
      </c>
      <c r="E45" s="123">
        <v>24281.01</v>
      </c>
      <c r="F45" s="123">
        <v>39994.85</v>
      </c>
      <c r="G45" s="97">
        <v>47688.75</v>
      </c>
      <c r="H45" s="100">
        <f t="shared" si="0"/>
        <v>134416.01999999999</v>
      </c>
    </row>
    <row r="46" spans="1:8" s="52" customFormat="1" ht="15">
      <c r="A46" s="105" t="s">
        <v>16</v>
      </c>
      <c r="B46" s="185" t="s">
        <v>16</v>
      </c>
      <c r="C46" s="99" t="s">
        <v>49</v>
      </c>
      <c r="D46" s="97">
        <v>17222.919999999998</v>
      </c>
      <c r="E46" s="97">
        <f>39350-D46</f>
        <v>22127.08</v>
      </c>
      <c r="F46" s="97">
        <f>55472-E46</f>
        <v>33344.92</v>
      </c>
      <c r="G46" s="123">
        <f>73421-F46</f>
        <v>40076.080000000002</v>
      </c>
      <c r="H46" s="100">
        <f t="shared" si="0"/>
        <v>112771</v>
      </c>
    </row>
    <row r="47" spans="1:8" s="52" customFormat="1" ht="15">
      <c r="A47" s="101">
        <v>0.04</v>
      </c>
      <c r="B47" s="183">
        <v>0.04</v>
      </c>
      <c r="C47" s="99" t="s">
        <v>50</v>
      </c>
      <c r="D47" s="123">
        <v>645.07000000000005</v>
      </c>
      <c r="E47" s="97">
        <f>2252.54-D47</f>
        <v>1607.4699999999998</v>
      </c>
      <c r="F47" s="123">
        <f>1707.67+1328.23-E47</f>
        <v>1428.4300000000003</v>
      </c>
      <c r="G47" s="97">
        <f>3751.25-F47</f>
        <v>2322.8199999999997</v>
      </c>
      <c r="H47" s="100">
        <f t="shared" si="0"/>
        <v>6003.79</v>
      </c>
    </row>
    <row r="48" spans="1:8" s="52" customFormat="1" ht="15">
      <c r="A48" s="95" t="s">
        <v>16</v>
      </c>
      <c r="B48" s="170" t="s">
        <v>16</v>
      </c>
      <c r="C48" s="99" t="s">
        <v>116</v>
      </c>
      <c r="D48" s="123">
        <v>818</v>
      </c>
      <c r="E48" s="123">
        <f>2081.85-D48</f>
        <v>1263.8499999999999</v>
      </c>
      <c r="F48" s="125">
        <f>3317-E48</f>
        <v>2053.15</v>
      </c>
      <c r="G48" s="123">
        <f>4393.54-F48</f>
        <v>2340.39</v>
      </c>
      <c r="H48" s="100">
        <f t="shared" si="0"/>
        <v>6475.3899999999994</v>
      </c>
    </row>
    <row r="49" spans="1:10" s="52" customFormat="1" ht="15">
      <c r="A49" s="95" t="s">
        <v>22</v>
      </c>
      <c r="B49" s="170" t="s">
        <v>22</v>
      </c>
      <c r="C49" s="99" t="s">
        <v>51</v>
      </c>
      <c r="D49" s="97">
        <v>965</v>
      </c>
      <c r="E49" s="97">
        <f>1924-D49</f>
        <v>959</v>
      </c>
      <c r="F49" s="97">
        <f>2504-E49</f>
        <v>1545</v>
      </c>
      <c r="G49" s="123">
        <f>2970-F49</f>
        <v>1425</v>
      </c>
      <c r="H49" s="100">
        <f t="shared" si="0"/>
        <v>4894</v>
      </c>
    </row>
    <row r="50" spans="1:10" s="52" customFormat="1" ht="15">
      <c r="A50" s="95" t="s">
        <v>16</v>
      </c>
      <c r="B50" s="170" t="s">
        <v>16</v>
      </c>
      <c r="C50" s="99" t="s">
        <v>52</v>
      </c>
      <c r="D50" s="123">
        <v>37544</v>
      </c>
      <c r="E50" s="97">
        <f>71559-D50</f>
        <v>34015</v>
      </c>
      <c r="F50" s="97">
        <f>100778-E50</f>
        <v>66763</v>
      </c>
      <c r="G50" s="97">
        <f>159147-F50</f>
        <v>92384</v>
      </c>
      <c r="H50" s="100">
        <f t="shared" si="0"/>
        <v>230706</v>
      </c>
    </row>
    <row r="51" spans="1:10" s="52" customFormat="1" ht="15">
      <c r="A51" s="95" t="s">
        <v>22</v>
      </c>
      <c r="B51" s="170" t="s">
        <v>22</v>
      </c>
      <c r="C51" s="99" t="s">
        <v>53</v>
      </c>
      <c r="D51" s="123">
        <v>994</v>
      </c>
      <c r="E51" s="97">
        <f>1877-D51</f>
        <v>883</v>
      </c>
      <c r="F51" s="123">
        <f>2373-E51</f>
        <v>1490</v>
      </c>
      <c r="G51" s="97">
        <f>3318-F51</f>
        <v>1828</v>
      </c>
      <c r="H51" s="100">
        <f t="shared" si="0"/>
        <v>5195</v>
      </c>
    </row>
    <row r="52" spans="1:10" s="52" customFormat="1" ht="15">
      <c r="A52" s="95" t="s">
        <v>16</v>
      </c>
      <c r="B52" s="170" t="s">
        <v>16</v>
      </c>
      <c r="C52" s="99" t="s">
        <v>54</v>
      </c>
      <c r="D52" s="97">
        <v>28625</v>
      </c>
      <c r="E52" s="97">
        <f>53648.15-D52</f>
        <v>25023.15</v>
      </c>
      <c r="F52" s="97">
        <f>74162.49-E52</f>
        <v>49139.340000000004</v>
      </c>
      <c r="G52" s="97">
        <f>103331.25-F52</f>
        <v>54191.909999999996</v>
      </c>
      <c r="H52" s="100">
        <f t="shared" si="0"/>
        <v>156979.4</v>
      </c>
    </row>
    <row r="53" spans="1:10" s="52" customFormat="1" ht="15">
      <c r="A53" s="95" t="s">
        <v>16</v>
      </c>
      <c r="B53" s="170" t="s">
        <v>16</v>
      </c>
      <c r="C53" s="99" t="s">
        <v>55</v>
      </c>
      <c r="D53" s="123">
        <v>148817</v>
      </c>
      <c r="E53" s="123">
        <f>222416-D53</f>
        <v>73599</v>
      </c>
      <c r="F53" s="97">
        <f>266606-E53</f>
        <v>193007</v>
      </c>
      <c r="G53" s="97">
        <f>331277-F53</f>
        <v>138270</v>
      </c>
      <c r="H53" s="100">
        <f t="shared" si="0"/>
        <v>553693</v>
      </c>
    </row>
    <row r="54" spans="1:10" s="52" customFormat="1" ht="15">
      <c r="A54" s="95" t="s">
        <v>16</v>
      </c>
      <c r="B54" s="170" t="s">
        <v>16</v>
      </c>
      <c r="C54" s="99" t="s">
        <v>56</v>
      </c>
      <c r="D54" s="97">
        <v>216744</v>
      </c>
      <c r="E54" s="123">
        <f>299578-D54</f>
        <v>82834</v>
      </c>
      <c r="F54" s="97">
        <f>460505-E54</f>
        <v>377671</v>
      </c>
      <c r="G54" s="97">
        <f>549950-F54</f>
        <v>172279</v>
      </c>
      <c r="H54" s="100">
        <f t="shared" si="0"/>
        <v>849528</v>
      </c>
      <c r="I54" s="57"/>
    </row>
    <row r="55" spans="1:10" s="52" customFormat="1" ht="15">
      <c r="A55" s="95"/>
      <c r="B55" s="183">
        <v>0.05</v>
      </c>
      <c r="C55" s="99" t="s">
        <v>126</v>
      </c>
      <c r="D55" s="97">
        <v>752.4</v>
      </c>
      <c r="E55" s="123">
        <f>1595.46-D55</f>
        <v>843.06000000000006</v>
      </c>
      <c r="F55" s="97">
        <f>2064.02-E55</f>
        <v>1220.96</v>
      </c>
      <c r="G55" s="97">
        <f>3538.03-F55</f>
        <v>2317.0700000000002</v>
      </c>
      <c r="H55" s="100">
        <f>G55+F55+E55+D55</f>
        <v>5133.49</v>
      </c>
      <c r="I55" s="57"/>
    </row>
    <row r="56" spans="1:10" s="52" customFormat="1" ht="15">
      <c r="A56" s="101">
        <v>0.05</v>
      </c>
      <c r="B56" s="170" t="s">
        <v>16</v>
      </c>
      <c r="C56" s="99" t="s">
        <v>57</v>
      </c>
      <c r="D56" s="123">
        <v>93540</v>
      </c>
      <c r="E56" s="97">
        <f>183593-D56</f>
        <v>90053</v>
      </c>
      <c r="F56" s="97">
        <f>247323-E56</f>
        <v>157270</v>
      </c>
      <c r="G56" s="123">
        <f>330542-F56</f>
        <v>173272</v>
      </c>
      <c r="H56" s="100">
        <f t="shared" si="0"/>
        <v>514135</v>
      </c>
    </row>
    <row r="57" spans="1:10" s="52" customFormat="1" ht="15">
      <c r="A57" s="95" t="s">
        <v>16</v>
      </c>
      <c r="B57" s="190" t="s">
        <v>16</v>
      </c>
      <c r="C57" s="99" t="s">
        <v>58</v>
      </c>
      <c r="D57" s="97">
        <v>238494</v>
      </c>
      <c r="E57" s="97">
        <f>463520-D57</f>
        <v>225026</v>
      </c>
      <c r="F57" s="97">
        <f>656105-E57</f>
        <v>431079</v>
      </c>
      <c r="G57" s="97">
        <f>896640-F57</f>
        <v>465561</v>
      </c>
      <c r="H57" s="100">
        <f t="shared" si="0"/>
        <v>1360160</v>
      </c>
    </row>
    <row r="58" spans="1:10" s="52" customFormat="1" ht="15">
      <c r="A58" s="107" t="s">
        <v>16</v>
      </c>
      <c r="B58" s="170" t="s">
        <v>16</v>
      </c>
      <c r="C58" s="99" t="s">
        <v>59</v>
      </c>
      <c r="D58" s="97">
        <v>505990</v>
      </c>
      <c r="E58" s="97">
        <f>757748-D58</f>
        <v>251758</v>
      </c>
      <c r="F58" s="97">
        <f>1064800-E58</f>
        <v>813042</v>
      </c>
      <c r="G58" s="97">
        <f>1280035-F58</f>
        <v>466993</v>
      </c>
      <c r="H58" s="100">
        <f t="shared" si="0"/>
        <v>2037783</v>
      </c>
    </row>
    <row r="59" spans="1:10" s="52" customFormat="1" ht="15">
      <c r="A59" s="95" t="s">
        <v>16</v>
      </c>
      <c r="B59" s="183">
        <v>0.05</v>
      </c>
      <c r="C59" s="99" t="s">
        <v>60</v>
      </c>
      <c r="D59" s="123">
        <v>169515</v>
      </c>
      <c r="E59" s="97">
        <v>105754</v>
      </c>
      <c r="F59" s="97">
        <v>121409</v>
      </c>
      <c r="G59" s="97">
        <v>173576</v>
      </c>
      <c r="H59" s="100">
        <f t="shared" si="0"/>
        <v>570254</v>
      </c>
    </row>
    <row r="60" spans="1:10" s="52" customFormat="1" ht="15">
      <c r="A60" s="101">
        <v>0.04</v>
      </c>
      <c r="B60" s="183">
        <v>0.02</v>
      </c>
      <c r="C60" s="108" t="s">
        <v>78</v>
      </c>
      <c r="D60" s="123">
        <v>1602057</v>
      </c>
      <c r="E60" s="123">
        <f>2731028-D60</f>
        <v>1128971</v>
      </c>
      <c r="F60" s="123">
        <f>4177578-E60</f>
        <v>3048607</v>
      </c>
      <c r="G60" s="123">
        <f>5480915-F60</f>
        <v>2432308</v>
      </c>
      <c r="H60" s="217">
        <f t="shared" si="0"/>
        <v>8211943</v>
      </c>
      <c r="J60" s="52" t="s">
        <v>124</v>
      </c>
    </row>
    <row r="61" spans="1:10" s="52" customFormat="1" ht="15">
      <c r="A61" s="101">
        <v>0.03</v>
      </c>
      <c r="B61" s="183">
        <v>0.05</v>
      </c>
      <c r="C61" s="108" t="s">
        <v>140</v>
      </c>
      <c r="D61" s="123">
        <v>1201543</v>
      </c>
      <c r="E61" s="123">
        <f>2048271-D61</f>
        <v>846728</v>
      </c>
      <c r="F61" s="123">
        <v>1706335</v>
      </c>
      <c r="G61" s="123">
        <f>5946974-F61</f>
        <v>4240639</v>
      </c>
      <c r="H61" s="217">
        <f t="shared" si="0"/>
        <v>7995245</v>
      </c>
      <c r="J61" s="52" t="s">
        <v>125</v>
      </c>
    </row>
    <row r="62" spans="1:10" s="52" customFormat="1" ht="15">
      <c r="A62" s="101">
        <v>0.05</v>
      </c>
      <c r="B62" s="170" t="s">
        <v>16</v>
      </c>
      <c r="C62" s="99" t="s">
        <v>61</v>
      </c>
      <c r="D62" s="123">
        <v>126849.19</v>
      </c>
      <c r="E62" s="97">
        <f>233084.47-D62</f>
        <v>106235.28</v>
      </c>
      <c r="F62" s="123">
        <f>318308.51-E62</f>
        <v>212073.23</v>
      </c>
      <c r="G62" s="97">
        <f>440857.65-F62</f>
        <v>228784.42</v>
      </c>
      <c r="H62" s="100">
        <f t="shared" si="0"/>
        <v>673942.12</v>
      </c>
    </row>
    <row r="63" spans="1:10" s="52" customFormat="1" ht="15">
      <c r="A63" s="95" t="s">
        <v>16</v>
      </c>
      <c r="B63" s="183">
        <v>0.05</v>
      </c>
      <c r="C63" s="99" t="s">
        <v>62</v>
      </c>
      <c r="D63" s="97">
        <v>77652</v>
      </c>
      <c r="E63" s="97">
        <f>134655-D63</f>
        <v>57003</v>
      </c>
      <c r="F63" s="97">
        <f>179990-E63</f>
        <v>122987</v>
      </c>
      <c r="G63" s="97">
        <f>252208-F63</f>
        <v>129221</v>
      </c>
      <c r="H63" s="100">
        <f t="shared" si="0"/>
        <v>386863</v>
      </c>
    </row>
    <row r="64" spans="1:10" s="52" customFormat="1" ht="15">
      <c r="A64" s="101">
        <v>0.05</v>
      </c>
      <c r="B64" s="170" t="s">
        <v>22</v>
      </c>
      <c r="C64" s="99" t="s">
        <v>63</v>
      </c>
      <c r="D64" s="123">
        <v>82389</v>
      </c>
      <c r="E64" s="123">
        <f>178219-D64</f>
        <v>95830</v>
      </c>
      <c r="F64" s="123">
        <f>252295-E64</f>
        <v>156465</v>
      </c>
      <c r="G64" s="97">
        <f>346325-F64</f>
        <v>189860</v>
      </c>
      <c r="H64" s="100">
        <f t="shared" si="0"/>
        <v>524544</v>
      </c>
    </row>
    <row r="65" spans="1:12" s="52" customFormat="1" ht="15">
      <c r="A65" s="95" t="s">
        <v>22</v>
      </c>
      <c r="B65" s="183">
        <v>0.05</v>
      </c>
      <c r="C65" s="99" t="s">
        <v>64</v>
      </c>
      <c r="D65" s="123">
        <v>1650</v>
      </c>
      <c r="E65" s="123">
        <f>3118-D65</f>
        <v>1468</v>
      </c>
      <c r="F65" s="123">
        <f>4218-E65</f>
        <v>2750</v>
      </c>
      <c r="G65" s="123">
        <f>4387-F65</f>
        <v>1637</v>
      </c>
      <c r="H65" s="100">
        <f t="shared" si="0"/>
        <v>7505</v>
      </c>
    </row>
    <row r="66" spans="1:12" s="52" customFormat="1" ht="15">
      <c r="A66" s="101">
        <v>0.05</v>
      </c>
      <c r="B66" s="185" t="s">
        <v>16</v>
      </c>
      <c r="C66" s="99" t="s">
        <v>65</v>
      </c>
      <c r="D66" s="123">
        <v>335383</v>
      </c>
      <c r="E66" s="97">
        <f>540040-D66</f>
        <v>204657</v>
      </c>
      <c r="F66" s="97">
        <f>702626-E66</f>
        <v>497969</v>
      </c>
      <c r="G66" s="97">
        <f>893205-F66</f>
        <v>395236</v>
      </c>
      <c r="H66" s="100">
        <f t="shared" si="0"/>
        <v>1433245</v>
      </c>
      <c r="I66" s="58"/>
    </row>
    <row r="67" spans="1:12" s="52" customFormat="1" ht="15">
      <c r="A67" s="105" t="s">
        <v>16</v>
      </c>
      <c r="B67" s="170" t="s">
        <v>16</v>
      </c>
      <c r="C67" s="99" t="s">
        <v>66</v>
      </c>
      <c r="D67" s="123">
        <v>17592</v>
      </c>
      <c r="E67" s="97">
        <f>49150-D67</f>
        <v>31558</v>
      </c>
      <c r="F67" s="97">
        <f>227338-E67</f>
        <v>195780</v>
      </c>
      <c r="G67" s="97">
        <f>311954-F67</f>
        <v>116174</v>
      </c>
      <c r="H67" s="100">
        <f t="shared" si="0"/>
        <v>361104</v>
      </c>
      <c r="I67" s="58"/>
    </row>
    <row r="68" spans="1:12" s="52" customFormat="1" ht="15">
      <c r="A68" s="95" t="s">
        <v>16</v>
      </c>
      <c r="B68" s="170" t="s">
        <v>16</v>
      </c>
      <c r="C68" s="99" t="s">
        <v>67</v>
      </c>
      <c r="D68" s="123">
        <v>49824</v>
      </c>
      <c r="E68" s="123">
        <f>96175-D68</f>
        <v>46351</v>
      </c>
      <c r="F68" s="123">
        <f>137385-E68</f>
        <v>91034</v>
      </c>
      <c r="G68" s="123">
        <f>186952-F68</f>
        <v>95918</v>
      </c>
      <c r="H68" s="100">
        <f t="shared" si="0"/>
        <v>283127</v>
      </c>
      <c r="I68" s="58"/>
      <c r="L68" s="52" t="s">
        <v>0</v>
      </c>
    </row>
    <row r="69" spans="1:12" s="52" customFormat="1" ht="15">
      <c r="A69" s="95" t="s">
        <v>16</v>
      </c>
      <c r="B69" s="185" t="s">
        <v>16</v>
      </c>
      <c r="C69" s="99" t="s">
        <v>68</v>
      </c>
      <c r="D69" s="123">
        <v>126690</v>
      </c>
      <c r="E69" s="123">
        <f>254108-D69</f>
        <v>127418</v>
      </c>
      <c r="F69" s="123">
        <f>378972-E69</f>
        <v>251554</v>
      </c>
      <c r="G69" s="123">
        <f>485544-F69</f>
        <v>233990</v>
      </c>
      <c r="H69" s="100">
        <f t="shared" si="0"/>
        <v>739652</v>
      </c>
      <c r="I69" s="58"/>
      <c r="L69" s="52" t="s">
        <v>0</v>
      </c>
    </row>
    <row r="70" spans="1:12" s="52" customFormat="1" ht="15">
      <c r="A70" s="105" t="s">
        <v>16</v>
      </c>
      <c r="B70" s="170" t="s">
        <v>22</v>
      </c>
      <c r="C70" s="99" t="s">
        <v>81</v>
      </c>
      <c r="D70" s="123">
        <v>59556</v>
      </c>
      <c r="E70" s="123">
        <f>72792-D70</f>
        <v>13236</v>
      </c>
      <c r="F70" s="97">
        <f>84769-E70</f>
        <v>71533</v>
      </c>
      <c r="G70" s="123">
        <f>97903-F70</f>
        <v>26370</v>
      </c>
      <c r="H70" s="100">
        <f t="shared" si="0"/>
        <v>170695</v>
      </c>
      <c r="I70" s="58"/>
    </row>
    <row r="71" spans="1:12" s="52" customFormat="1" ht="15">
      <c r="A71" s="95" t="s">
        <v>22</v>
      </c>
      <c r="B71" s="91"/>
      <c r="C71" s="99" t="s">
        <v>69</v>
      </c>
      <c r="D71" s="102">
        <v>704.48</v>
      </c>
      <c r="E71" s="123">
        <v>538.9</v>
      </c>
      <c r="F71" s="123">
        <v>491.46</v>
      </c>
      <c r="G71" s="123">
        <f>2424.71-F71</f>
        <v>1933.25</v>
      </c>
      <c r="H71" s="100">
        <f t="shared" si="0"/>
        <v>3668.09</v>
      </c>
      <c r="I71" s="58"/>
    </row>
    <row r="72" spans="1:12" s="52" customFormat="1" ht="15.75" thickBot="1">
      <c r="A72" s="59"/>
      <c r="B72" s="91"/>
      <c r="C72" s="109" t="s">
        <v>70</v>
      </c>
      <c r="D72" s="109">
        <f>SUM(D8:D71)</f>
        <v>11423337.340000002</v>
      </c>
      <c r="E72" s="109">
        <f>SUM(E8:E71)</f>
        <v>9889155.2799999993</v>
      </c>
      <c r="F72" s="110">
        <f>SUM(F8:F71)</f>
        <v>17080603.330000002</v>
      </c>
      <c r="G72" s="109">
        <f>SUM(G8:G71)</f>
        <v>24370571.220000003</v>
      </c>
      <c r="H72" s="100">
        <f t="shared" si="0"/>
        <v>62763667.170000002</v>
      </c>
    </row>
    <row r="73" spans="1:12" s="52" customFormat="1" ht="15" thickTop="1">
      <c r="A73" s="60"/>
      <c r="B73" s="113"/>
      <c r="C73" s="58"/>
      <c r="D73" s="58"/>
      <c r="E73" s="58"/>
      <c r="F73" s="58"/>
      <c r="G73" s="58"/>
      <c r="H73" s="61">
        <f>D72+E72+F72+G72</f>
        <v>62763667.170000002</v>
      </c>
    </row>
    <row r="74" spans="1:12" s="52" customFormat="1" ht="15">
      <c r="A74" s="111" t="s">
        <v>0</v>
      </c>
      <c r="B74" s="98"/>
      <c r="C74" s="58"/>
      <c r="D74" s="58"/>
      <c r="E74" s="58"/>
      <c r="F74" s="58"/>
      <c r="G74" s="58"/>
      <c r="H74" s="61"/>
    </row>
    <row r="75" spans="1:12" s="52" customFormat="1" ht="15">
      <c r="A75" s="111" t="s">
        <v>0</v>
      </c>
      <c r="B75" s="98"/>
      <c r="C75" s="112"/>
      <c r="D75" s="58"/>
      <c r="E75" s="58"/>
      <c r="F75" s="58"/>
      <c r="G75" s="58"/>
      <c r="H75" s="61"/>
    </row>
    <row r="76" spans="1:12" s="52" customFormat="1" ht="15">
      <c r="A76" s="111" t="s">
        <v>0</v>
      </c>
      <c r="B76" s="98"/>
      <c r="C76" s="112"/>
      <c r="D76" s="58"/>
      <c r="E76" s="58"/>
      <c r="F76" s="58"/>
      <c r="G76" s="58"/>
      <c r="H76" s="61"/>
    </row>
    <row r="77" spans="1:12" s="52" customFormat="1" ht="15">
      <c r="A77" s="111"/>
      <c r="B77" s="98"/>
      <c r="C77" s="112"/>
      <c r="D77" s="58"/>
      <c r="E77" s="58"/>
      <c r="F77" s="58"/>
      <c r="G77" s="58"/>
      <c r="H77" s="61"/>
    </row>
    <row r="78" spans="1:12" s="52" customFormat="1" ht="15">
      <c r="A78" s="111"/>
      <c r="B78" s="98"/>
      <c r="C78" s="98"/>
      <c r="D78" s="113"/>
      <c r="E78" s="113"/>
      <c r="F78" s="113"/>
      <c r="G78" s="113"/>
      <c r="H78" s="61"/>
    </row>
    <row r="79" spans="1:12" s="52" customFormat="1" ht="15">
      <c r="A79" s="62"/>
      <c r="B79" s="62"/>
      <c r="C79" s="62"/>
      <c r="D79" s="62"/>
      <c r="E79" s="62"/>
      <c r="F79" s="62"/>
      <c r="G79" s="62"/>
      <c r="H79" s="63"/>
    </row>
    <row r="80" spans="1:12">
      <c r="A80" s="64"/>
      <c r="B80" s="64"/>
      <c r="C80" s="64"/>
      <c r="D80" s="64"/>
      <c r="E80" s="64"/>
      <c r="F80" s="64"/>
      <c r="G80" s="64"/>
      <c r="H80" s="64"/>
    </row>
    <row r="81" spans="1:8">
      <c r="A81" s="64"/>
      <c r="B81" s="64"/>
      <c r="C81" s="64"/>
      <c r="D81" s="64"/>
      <c r="E81" s="64"/>
      <c r="F81" s="64"/>
      <c r="G81" s="64"/>
      <c r="H81" s="64"/>
    </row>
    <row r="82" spans="1:8">
      <c r="A82" s="64"/>
      <c r="B82" s="64"/>
      <c r="C82" s="64"/>
      <c r="D82" s="64"/>
      <c r="E82" s="64"/>
      <c r="F82" s="64"/>
      <c r="G82" s="64"/>
      <c r="H82" s="64"/>
    </row>
    <row r="83" spans="1:8">
      <c r="A83" s="64"/>
      <c r="B83" s="64"/>
      <c r="C83" s="64"/>
      <c r="D83" s="64"/>
      <c r="E83" s="64"/>
      <c r="F83" s="64"/>
      <c r="G83" s="64"/>
      <c r="H83" s="64"/>
    </row>
    <row r="84" spans="1:8">
      <c r="A84" s="64"/>
      <c r="B84" s="64"/>
      <c r="C84" s="64"/>
      <c r="D84" s="64"/>
      <c r="E84" s="64"/>
      <c r="F84" s="64"/>
      <c r="G84" s="64"/>
      <c r="H84" s="64"/>
    </row>
    <row r="85" spans="1:8">
      <c r="A85" s="64"/>
      <c r="B85" s="64"/>
      <c r="C85" s="64"/>
      <c r="D85" s="64"/>
      <c r="E85" s="64"/>
      <c r="F85" s="64"/>
      <c r="G85" s="64"/>
      <c r="H85" s="64"/>
    </row>
    <row r="86" spans="1:8">
      <c r="A86" s="64"/>
      <c r="B86" s="64"/>
      <c r="C86" s="64"/>
      <c r="D86" s="64"/>
      <c r="E86" s="64"/>
      <c r="F86" s="64"/>
      <c r="G86" s="64"/>
      <c r="H86" s="64"/>
    </row>
    <row r="87" spans="1:8">
      <c r="A87" s="64"/>
      <c r="B87" s="64"/>
      <c r="C87" s="64"/>
      <c r="D87" s="64"/>
      <c r="E87" s="64"/>
      <c r="F87" s="64"/>
      <c r="G87" s="64"/>
      <c r="H87" s="64"/>
    </row>
    <row r="88" spans="1:8">
      <c r="A88" s="64"/>
      <c r="B88" s="64"/>
      <c r="C88" s="64"/>
      <c r="D88" s="64"/>
      <c r="E88" s="64"/>
      <c r="F88" s="64"/>
      <c r="G88" s="64"/>
      <c r="H88" s="64"/>
    </row>
    <row r="89" spans="1:8">
      <c r="A89" s="64"/>
      <c r="B89" s="64"/>
      <c r="C89" s="64"/>
      <c r="D89" s="64"/>
      <c r="E89" s="64"/>
      <c r="F89" s="64"/>
      <c r="G89" s="64"/>
      <c r="H89" s="64"/>
    </row>
    <row r="90" spans="1:8" s="66" customFormat="1" ht="15">
      <c r="A90" s="98"/>
      <c r="B90" s="98"/>
      <c r="C90" s="98"/>
      <c r="D90" s="98"/>
      <c r="E90" s="98"/>
      <c r="F90" s="98"/>
      <c r="G90" s="98"/>
      <c r="H90" s="98"/>
    </row>
    <row r="91" spans="1:8" s="66" customFormat="1" ht="15">
      <c r="A91" s="98"/>
      <c r="B91" s="98"/>
      <c r="C91" s="98"/>
      <c r="D91" s="98"/>
      <c r="E91" s="98"/>
      <c r="F91" s="98"/>
      <c r="G91" s="98"/>
      <c r="H91" s="98"/>
    </row>
    <row r="92" spans="1:8" s="66" customFormat="1" ht="15">
      <c r="A92" s="98"/>
      <c r="B92" s="98"/>
      <c r="C92" s="98"/>
      <c r="D92" s="98"/>
      <c r="E92" s="98"/>
      <c r="F92" s="98"/>
      <c r="G92" s="98"/>
      <c r="H92" s="98"/>
    </row>
    <row r="93" spans="1:8" s="66" customFormat="1" ht="15">
      <c r="A93" s="98"/>
      <c r="B93" s="98"/>
      <c r="C93" s="98"/>
      <c r="D93" s="98"/>
      <c r="E93" s="98"/>
      <c r="F93" s="98"/>
      <c r="G93" s="98"/>
      <c r="H93" s="98"/>
    </row>
    <row r="94" spans="1:8" s="66" customFormat="1" ht="15">
      <c r="A94" s="98"/>
      <c r="B94" s="98"/>
      <c r="C94" s="98"/>
      <c r="D94" s="98"/>
      <c r="E94" s="98"/>
      <c r="F94" s="98"/>
      <c r="G94" s="98"/>
      <c r="H94" s="98"/>
    </row>
    <row r="95" spans="1:8" s="66" customFormat="1" ht="15">
      <c r="A95" s="98"/>
      <c r="B95" s="98"/>
      <c r="C95" s="98"/>
      <c r="D95" s="98"/>
      <c r="E95" s="98"/>
      <c r="F95" s="98"/>
      <c r="G95" s="98"/>
      <c r="H95" s="98"/>
    </row>
    <row r="96" spans="1:8" s="66" customFormat="1" ht="15">
      <c r="A96" s="98"/>
      <c r="B96" s="98"/>
      <c r="C96" s="98"/>
      <c r="D96" s="98"/>
      <c r="E96" s="98"/>
      <c r="F96" s="98"/>
      <c r="G96" s="98"/>
      <c r="H96" s="98"/>
    </row>
    <row r="97" spans="1:8" s="66" customFormat="1" ht="15">
      <c r="A97" s="98"/>
      <c r="B97" s="98"/>
      <c r="C97" s="98"/>
      <c r="D97" s="98"/>
      <c r="E97" s="98"/>
      <c r="F97" s="98"/>
      <c r="G97" s="98"/>
      <c r="H97" s="98"/>
    </row>
    <row r="98" spans="1:8" s="66" customFormat="1" ht="15">
      <c r="A98" s="98"/>
      <c r="B98" s="98"/>
      <c r="C98" s="98"/>
      <c r="D98" s="98"/>
      <c r="E98" s="98"/>
      <c r="F98" s="98"/>
      <c r="G98" s="98"/>
      <c r="H98" s="98"/>
    </row>
    <row r="99" spans="1:8" s="66" customFormat="1" ht="15">
      <c r="A99" s="98"/>
      <c r="B99" s="98"/>
      <c r="C99" s="98"/>
      <c r="D99" s="98"/>
      <c r="E99" s="98"/>
      <c r="F99" s="98"/>
      <c r="G99" s="98"/>
      <c r="H99" s="98"/>
    </row>
    <row r="100" spans="1:8" s="66" customFormat="1" ht="15">
      <c r="A100" s="98"/>
      <c r="B100" s="98"/>
      <c r="C100" s="98"/>
      <c r="D100" s="98"/>
      <c r="E100" s="98"/>
      <c r="F100" s="98"/>
      <c r="G100" s="98"/>
      <c r="H100" s="98"/>
    </row>
    <row r="101" spans="1:8" s="66" customFormat="1" ht="15">
      <c r="A101" s="98"/>
      <c r="B101" s="98"/>
      <c r="C101" s="98"/>
      <c r="D101" s="98"/>
      <c r="E101" s="98"/>
      <c r="F101" s="98"/>
      <c r="G101" s="98"/>
      <c r="H101" s="98"/>
    </row>
    <row r="102" spans="1:8" s="66" customFormat="1" ht="15">
      <c r="A102" s="98"/>
      <c r="B102" s="98"/>
      <c r="C102" s="98"/>
      <c r="D102" s="98"/>
      <c r="E102" s="98"/>
      <c r="F102" s="98"/>
      <c r="G102" s="98"/>
      <c r="H102" s="98"/>
    </row>
    <row r="103" spans="1:8" s="66" customFormat="1" ht="15">
      <c r="A103" s="98"/>
      <c r="B103" s="98"/>
      <c r="C103" s="98"/>
      <c r="D103" s="98"/>
      <c r="E103" s="98"/>
      <c r="F103" s="98"/>
      <c r="G103" s="98"/>
      <c r="H103" s="98"/>
    </row>
    <row r="104" spans="1:8" s="66" customFormat="1" ht="15">
      <c r="A104" s="98"/>
      <c r="B104" s="98"/>
      <c r="C104" s="98"/>
      <c r="D104" s="98"/>
      <c r="E104" s="98"/>
      <c r="F104" s="98"/>
      <c r="G104" s="98"/>
      <c r="H104" s="98"/>
    </row>
    <row r="105" spans="1:8" s="66" customFormat="1" ht="15">
      <c r="A105" s="98"/>
      <c r="B105" s="98"/>
      <c r="C105" s="98"/>
      <c r="D105" s="98"/>
      <c r="E105" s="98"/>
      <c r="F105" s="98"/>
      <c r="G105" s="98"/>
      <c r="H105" s="98"/>
    </row>
    <row r="106" spans="1:8" s="66" customFormat="1" ht="15">
      <c r="A106" s="98"/>
      <c r="B106" s="98"/>
      <c r="C106" s="98"/>
      <c r="D106" s="98"/>
      <c r="E106" s="98"/>
      <c r="F106" s="98"/>
      <c r="G106" s="98"/>
      <c r="H106" s="98"/>
    </row>
    <row r="107" spans="1:8" s="66" customFormat="1" ht="15">
      <c r="A107" s="98"/>
      <c r="B107" s="98"/>
      <c r="C107" s="98"/>
      <c r="D107" s="98"/>
      <c r="E107" s="98"/>
      <c r="F107" s="98"/>
      <c r="G107" s="98"/>
      <c r="H107" s="98"/>
    </row>
    <row r="108" spans="1:8" s="66" customFormat="1" ht="15">
      <c r="A108" s="98"/>
      <c r="B108" s="98"/>
      <c r="C108" s="98"/>
      <c r="D108" s="98"/>
      <c r="E108" s="98"/>
      <c r="F108" s="98"/>
      <c r="G108" s="98"/>
      <c r="H108" s="98"/>
    </row>
    <row r="109" spans="1:8" s="66" customFormat="1" ht="15">
      <c r="A109" s="98"/>
      <c r="B109" s="98"/>
      <c r="C109" s="98"/>
      <c r="D109" s="98"/>
      <c r="E109" s="98"/>
      <c r="F109" s="98"/>
      <c r="G109" s="98"/>
      <c r="H109" s="98"/>
    </row>
    <row r="110" spans="1:8" s="66" customFormat="1" ht="15">
      <c r="A110" s="98"/>
      <c r="B110" s="98"/>
      <c r="C110" s="98"/>
      <c r="D110" s="98"/>
      <c r="E110" s="98"/>
      <c r="F110" s="98"/>
      <c r="G110" s="98"/>
      <c r="H110" s="98"/>
    </row>
    <row r="111" spans="1:8" s="66" customFormat="1" ht="15">
      <c r="A111" s="98"/>
      <c r="B111" s="98"/>
      <c r="C111" s="98"/>
      <c r="D111" s="98"/>
      <c r="E111" s="98"/>
      <c r="F111" s="98"/>
      <c r="G111" s="98"/>
      <c r="H111" s="98"/>
    </row>
    <row r="112" spans="1:8" s="66" customFormat="1" ht="15">
      <c r="A112" s="98"/>
      <c r="B112" s="98"/>
      <c r="C112" s="98"/>
      <c r="D112" s="98"/>
      <c r="E112" s="98"/>
      <c r="F112" s="98"/>
      <c r="G112" s="98"/>
      <c r="H112" s="98"/>
    </row>
    <row r="113" spans="1:9" s="66" customFormat="1" ht="15">
      <c r="A113" s="98"/>
      <c r="B113" s="98"/>
      <c r="C113" s="98"/>
      <c r="D113" s="98"/>
      <c r="E113" s="98"/>
      <c r="F113" s="98"/>
      <c r="G113" s="98"/>
      <c r="H113" s="98"/>
    </row>
    <row r="114" spans="1:9" s="66" customFormat="1" ht="15">
      <c r="A114" s="98"/>
      <c r="B114" s="98"/>
      <c r="C114" s="98"/>
      <c r="D114" s="98"/>
      <c r="E114" s="98"/>
      <c r="F114" s="98"/>
      <c r="G114" s="98"/>
      <c r="H114" s="98"/>
    </row>
    <row r="115" spans="1:9" s="66" customFormat="1" ht="15">
      <c r="A115" s="98"/>
      <c r="B115" s="98"/>
      <c r="C115" s="98"/>
      <c r="D115" s="98"/>
      <c r="E115" s="98"/>
      <c r="F115" s="98"/>
      <c r="G115" s="98"/>
      <c r="H115" s="98"/>
    </row>
    <row r="116" spans="1:9" s="66" customFormat="1" ht="15">
      <c r="A116" s="98"/>
      <c r="B116" s="98"/>
      <c r="C116" s="98"/>
      <c r="D116" s="98"/>
      <c r="E116" s="98"/>
      <c r="F116" s="98"/>
      <c r="G116" s="98"/>
      <c r="H116" s="98"/>
    </row>
    <row r="117" spans="1:9" s="66" customFormat="1" ht="15">
      <c r="A117" s="98"/>
      <c r="B117" s="98"/>
      <c r="C117" s="98"/>
      <c r="D117" s="98"/>
      <c r="E117" s="98"/>
      <c r="F117" s="98"/>
      <c r="G117" s="98"/>
      <c r="H117" s="98"/>
      <c r="I117" s="67"/>
    </row>
    <row r="118" spans="1:9" s="66" customFormat="1" ht="15">
      <c r="A118" s="98"/>
      <c r="B118" s="98"/>
      <c r="C118" s="98"/>
      <c r="D118" s="98"/>
      <c r="E118" s="98"/>
      <c r="F118" s="98"/>
      <c r="G118" s="98"/>
      <c r="H118" s="98"/>
      <c r="I118" s="67"/>
    </row>
    <row r="119" spans="1:9" s="66" customFormat="1" ht="15">
      <c r="A119" s="67"/>
      <c r="B119" s="67"/>
      <c r="C119" s="114"/>
      <c r="D119" s="114"/>
      <c r="E119" s="114"/>
      <c r="F119" s="114"/>
      <c r="G119" s="114"/>
      <c r="H119" s="114"/>
    </row>
    <row r="120" spans="1:9" s="66" customFormat="1">
      <c r="A120" s="67"/>
      <c r="B120" s="67"/>
      <c r="C120" s="67"/>
      <c r="D120" s="67"/>
      <c r="E120" s="67"/>
      <c r="F120" s="67"/>
      <c r="G120" s="67"/>
      <c r="H120" s="67"/>
    </row>
    <row r="121" spans="1:9" s="66" customFormat="1" ht="15">
      <c r="A121" s="114"/>
      <c r="B121" s="114"/>
      <c r="C121" s="67"/>
      <c r="D121" s="67"/>
      <c r="E121" s="67"/>
      <c r="F121" s="67"/>
      <c r="G121" s="67"/>
      <c r="H121" s="67"/>
    </row>
    <row r="122" spans="1:9" s="66" customFormat="1" ht="15">
      <c r="A122" s="114"/>
      <c r="B122" s="114"/>
      <c r="C122" s="114"/>
      <c r="D122" s="67"/>
      <c r="E122" s="67"/>
      <c r="F122" s="67"/>
      <c r="G122" s="67"/>
      <c r="H122" s="67"/>
    </row>
    <row r="123" spans="1:9" s="66" customFormat="1" ht="15">
      <c r="A123" s="114"/>
      <c r="B123" s="114"/>
      <c r="C123" s="114"/>
      <c r="D123" s="67"/>
      <c r="E123" s="67"/>
      <c r="F123" s="67"/>
      <c r="G123" s="67"/>
      <c r="H123" s="67"/>
    </row>
    <row r="124" spans="1:9" s="66" customFormat="1" ht="15">
      <c r="A124" s="114"/>
      <c r="B124" s="114"/>
      <c r="C124" s="114"/>
      <c r="D124" s="67"/>
      <c r="E124" s="67"/>
      <c r="F124" s="67"/>
      <c r="G124" s="67"/>
      <c r="H124" s="67"/>
    </row>
    <row r="125" spans="1:9" s="66" customFormat="1">
      <c r="A125" s="67"/>
      <c r="B125" s="67"/>
      <c r="C125" s="67"/>
      <c r="D125" s="67"/>
      <c r="E125" s="67"/>
      <c r="F125" s="67"/>
      <c r="G125" s="67"/>
      <c r="H125" s="67"/>
    </row>
    <row r="126" spans="1:9" s="66" customFormat="1"/>
    <row r="127" spans="1:9" s="66" customFormat="1"/>
    <row r="128" spans="1:9" s="66" customFormat="1">
      <c r="A128" s="67"/>
      <c r="B128" s="67"/>
      <c r="C128" s="67"/>
      <c r="D128" s="67"/>
      <c r="E128" s="67"/>
      <c r="F128" s="67"/>
      <c r="G128" s="67"/>
      <c r="H128" s="67"/>
    </row>
    <row r="129" spans="1:8" s="66" customFormat="1">
      <c r="A129" s="67"/>
      <c r="B129" s="67"/>
      <c r="C129" s="67"/>
      <c r="D129" s="67"/>
      <c r="E129" s="67"/>
      <c r="F129" s="67"/>
      <c r="G129" s="67"/>
      <c r="H129" s="67"/>
    </row>
    <row r="130" spans="1:8" s="66" customFormat="1"/>
    <row r="131" spans="1:8" s="66" customFormat="1"/>
    <row r="132" spans="1:8" s="66" customFormat="1"/>
    <row r="133" spans="1:8" s="66" customFormat="1"/>
    <row r="134" spans="1:8" s="66" customFormat="1"/>
    <row r="135" spans="1:8" s="66" customFormat="1"/>
    <row r="136" spans="1:8" s="66" customFormat="1"/>
    <row r="137" spans="1:8" s="66" customFormat="1"/>
    <row r="138" spans="1:8" s="66" customFormat="1"/>
    <row r="139" spans="1:8" s="66" customFormat="1"/>
    <row r="140" spans="1:8" s="66" customFormat="1"/>
    <row r="141" spans="1:8" s="66" customFormat="1"/>
    <row r="142" spans="1:8" s="66" customFormat="1"/>
    <row r="143" spans="1:8" s="66" customFormat="1"/>
    <row r="144" spans="1:8" s="66" customFormat="1"/>
    <row r="145" spans="1:8" s="66" customFormat="1"/>
    <row r="146" spans="1:8" s="66" customFormat="1"/>
    <row r="147" spans="1:8" s="66" customFormat="1"/>
    <row r="148" spans="1:8" s="66" customFormat="1"/>
    <row r="149" spans="1:8" s="66" customFormat="1"/>
    <row r="150" spans="1:8" s="66" customFormat="1"/>
    <row r="151" spans="1:8" s="66" customFormat="1"/>
    <row r="152" spans="1:8" s="66" customFormat="1"/>
    <row r="153" spans="1:8" s="66" customFormat="1">
      <c r="A153" s="67"/>
      <c r="B153" s="67"/>
      <c r="C153" s="67"/>
      <c r="D153" s="67"/>
      <c r="E153" s="67"/>
      <c r="F153" s="67"/>
      <c r="G153" s="67"/>
      <c r="H153" s="67"/>
    </row>
    <row r="154" spans="1:8" s="66" customFormat="1">
      <c r="A154" s="67"/>
      <c r="B154" s="67"/>
      <c r="C154" s="67"/>
      <c r="D154" s="67"/>
      <c r="E154" s="67"/>
      <c r="F154" s="67"/>
      <c r="G154" s="67"/>
      <c r="H154" s="67"/>
    </row>
    <row r="155" spans="1:8" s="66" customFormat="1">
      <c r="A155" s="67"/>
      <c r="B155" s="67"/>
      <c r="C155" s="67"/>
      <c r="D155" s="67"/>
      <c r="E155" s="67"/>
      <c r="F155" s="67"/>
      <c r="G155" s="67"/>
      <c r="H155" s="67"/>
    </row>
    <row r="156" spans="1:8" s="66" customFormat="1"/>
    <row r="157" spans="1:8" s="66" customFormat="1"/>
    <row r="158" spans="1:8" s="66" customFormat="1"/>
    <row r="159" spans="1:8" s="66" customFormat="1"/>
    <row r="160" spans="1:8" s="66" customFormat="1"/>
    <row r="161" spans="1:8" s="66" customFormat="1"/>
    <row r="162" spans="1:8" s="66" customFormat="1"/>
    <row r="163" spans="1:8" s="66" customFormat="1"/>
    <row r="164" spans="1:8" s="66" customFormat="1"/>
    <row r="165" spans="1:8" s="66" customFormat="1"/>
    <row r="166" spans="1:8" s="66" customFormat="1"/>
    <row r="167" spans="1:8" s="66" customFormat="1"/>
    <row r="168" spans="1:8" s="66" customFormat="1"/>
    <row r="169" spans="1:8" s="66" customFormat="1"/>
    <row r="170" spans="1:8" s="66" customFormat="1"/>
    <row r="171" spans="1:8" s="66" customFormat="1"/>
    <row r="172" spans="1:8" s="66" customFormat="1"/>
    <row r="173" spans="1:8" s="66" customFormat="1"/>
    <row r="174" spans="1:8" s="66" customFormat="1">
      <c r="A174" s="67"/>
      <c r="B174" s="67"/>
      <c r="C174" s="67"/>
      <c r="D174" s="67"/>
      <c r="E174" s="67"/>
      <c r="F174" s="67"/>
      <c r="G174" s="67"/>
      <c r="H174" s="67"/>
    </row>
    <row r="175" spans="1:8" s="66" customFormat="1">
      <c r="A175" s="67"/>
      <c r="B175" s="67"/>
      <c r="C175" s="67"/>
      <c r="D175" s="67"/>
      <c r="E175" s="67"/>
      <c r="F175" s="67"/>
      <c r="G175" s="67"/>
      <c r="H175" s="67"/>
    </row>
    <row r="176" spans="1:8" s="66" customFormat="1">
      <c r="A176" s="67"/>
      <c r="B176" s="67"/>
      <c r="C176" s="67"/>
      <c r="D176" s="67"/>
      <c r="E176" s="67"/>
      <c r="F176" s="67"/>
      <c r="G176" s="67"/>
      <c r="H176" s="67"/>
    </row>
    <row r="177" spans="1:8" s="66" customFormat="1">
      <c r="A177" s="67"/>
      <c r="B177" s="67"/>
      <c r="C177" s="67"/>
      <c r="D177" s="67"/>
      <c r="E177" s="67"/>
      <c r="F177" s="67"/>
      <c r="G177" s="67"/>
      <c r="H177" s="67"/>
    </row>
    <row r="178" spans="1:8" s="66" customFormat="1" ht="15">
      <c r="A178" s="98"/>
      <c r="B178" s="98"/>
      <c r="C178" s="98"/>
      <c r="D178" s="98"/>
      <c r="E178" s="98"/>
      <c r="F178" s="98"/>
      <c r="G178" s="98"/>
      <c r="H178" s="98"/>
    </row>
    <row r="179" spans="1:8" s="66" customFormat="1" ht="15">
      <c r="A179" s="98"/>
      <c r="B179" s="98"/>
      <c r="C179" s="98"/>
      <c r="D179" s="98"/>
      <c r="E179" s="98"/>
      <c r="F179" s="98"/>
      <c r="G179" s="98"/>
      <c r="H179" s="98"/>
    </row>
    <row r="180" spans="1:8" s="66" customFormat="1"/>
    <row r="181" spans="1:8" s="66" customFormat="1"/>
    <row r="182" spans="1:8" s="66" customFormat="1"/>
    <row r="183" spans="1:8" s="66" customFormat="1"/>
    <row r="184" spans="1:8" s="66" customFormat="1"/>
    <row r="185" spans="1:8" s="66" customFormat="1"/>
    <row r="186" spans="1:8" s="66" customFormat="1"/>
    <row r="187" spans="1:8" s="66" customFormat="1"/>
    <row r="188" spans="1:8" s="66" customFormat="1"/>
    <row r="189" spans="1:8" s="66" customFormat="1"/>
    <row r="190" spans="1:8" s="66" customFormat="1"/>
    <row r="191" spans="1:8" s="66" customFormat="1"/>
    <row r="192" spans="1:8" s="66" customFormat="1"/>
    <row r="193" s="66" customFormat="1"/>
    <row r="194" s="66" customFormat="1"/>
    <row r="195" s="66" customFormat="1"/>
    <row r="196" s="66" customFormat="1"/>
    <row r="197" s="66" customFormat="1"/>
    <row r="198" s="66" customFormat="1"/>
    <row r="199" s="66" customFormat="1"/>
    <row r="200" s="66" customFormat="1"/>
    <row r="201" s="66" customFormat="1"/>
    <row r="202" s="66" customFormat="1"/>
    <row r="203" s="66" customFormat="1"/>
    <row r="204" s="66" customFormat="1"/>
    <row r="205" s="66" customFormat="1"/>
    <row r="206" s="66" customFormat="1"/>
    <row r="207" s="66" customFormat="1"/>
    <row r="208" s="66" customFormat="1"/>
    <row r="209" s="66" customFormat="1"/>
    <row r="210" s="66" customFormat="1"/>
    <row r="211" s="66" customFormat="1"/>
    <row r="212" s="66" customFormat="1"/>
    <row r="213" s="66" customFormat="1"/>
    <row r="214" s="66" customFormat="1"/>
    <row r="215" s="66" customFormat="1"/>
    <row r="216" s="66" customFormat="1"/>
    <row r="217" s="66" customFormat="1"/>
    <row r="218" s="66" customFormat="1"/>
    <row r="219" s="66" customFormat="1"/>
    <row r="220" s="66" customFormat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A1" s="1" t="s">
        <v>82</v>
      </c>
      <c r="B1" s="2"/>
      <c r="C1" s="2"/>
      <c r="D1" s="2"/>
      <c r="E1" s="2" t="s">
        <v>83</v>
      </c>
      <c r="F1" s="2"/>
    </row>
    <row r="2" spans="1:9">
      <c r="A2" s="5" t="s">
        <v>84</v>
      </c>
      <c r="B2" s="6"/>
      <c r="C2" s="6"/>
      <c r="D2" s="6"/>
      <c r="E2" s="6" t="s">
        <v>108</v>
      </c>
      <c r="F2" s="6"/>
    </row>
    <row r="3" spans="1:9">
      <c r="A3" s="5" t="s">
        <v>85</v>
      </c>
      <c r="B3" s="6"/>
      <c r="C3" s="6"/>
      <c r="D3" s="6"/>
      <c r="E3" s="6" t="s">
        <v>119</v>
      </c>
      <c r="F3" s="6"/>
    </row>
    <row r="4" spans="1:9">
      <c r="A4" s="8"/>
      <c r="B4" s="9"/>
      <c r="C4" s="9"/>
      <c r="D4" s="9"/>
      <c r="E4" s="68"/>
      <c r="F4" s="68"/>
      <c r="G4" s="68"/>
      <c r="H4" s="68"/>
      <c r="I4" s="68"/>
    </row>
    <row r="5" spans="1:9">
      <c r="A5" s="11"/>
      <c r="B5" s="12"/>
      <c r="C5" s="12"/>
      <c r="D5" s="12"/>
      <c r="E5" s="69" t="s">
        <v>86</v>
      </c>
      <c r="F5" s="69" t="s">
        <v>87</v>
      </c>
      <c r="G5" s="69" t="s">
        <v>88</v>
      </c>
      <c r="H5" s="69" t="s">
        <v>89</v>
      </c>
      <c r="I5" s="130"/>
    </row>
    <row r="6" spans="1:9">
      <c r="A6" s="11"/>
      <c r="B6" s="12"/>
      <c r="C6" s="12"/>
      <c r="D6" s="12"/>
      <c r="E6" s="127" t="s">
        <v>72</v>
      </c>
      <c r="F6" s="69" t="s">
        <v>72</v>
      </c>
      <c r="G6" s="69" t="s">
        <v>72</v>
      </c>
      <c r="H6" s="69" t="s">
        <v>72</v>
      </c>
      <c r="I6" s="69" t="s">
        <v>9</v>
      </c>
    </row>
    <row r="7" spans="1:9">
      <c r="A7" s="11"/>
      <c r="B7" s="12"/>
      <c r="C7" s="12" t="s">
        <v>90</v>
      </c>
      <c r="D7" s="12"/>
      <c r="E7" s="137" t="s">
        <v>91</v>
      </c>
      <c r="F7" s="137" t="s">
        <v>92</v>
      </c>
      <c r="G7" s="137" t="s">
        <v>93</v>
      </c>
      <c r="H7" s="137" t="s">
        <v>94</v>
      </c>
      <c r="I7" s="137" t="s">
        <v>15</v>
      </c>
    </row>
    <row r="8" spans="1:9">
      <c r="A8" s="1"/>
      <c r="B8" s="2"/>
      <c r="C8" s="2"/>
      <c r="D8" s="2"/>
      <c r="E8" s="128"/>
      <c r="F8" s="128"/>
      <c r="G8" s="128"/>
      <c r="H8" s="128"/>
      <c r="I8" s="128"/>
    </row>
    <row r="9" spans="1:9" ht="16.5">
      <c r="A9" s="18" t="s">
        <v>16</v>
      </c>
      <c r="B9" s="19"/>
      <c r="C9" s="19" t="s">
        <v>95</v>
      </c>
      <c r="D9" s="19"/>
      <c r="E9" s="146">
        <v>19804</v>
      </c>
      <c r="F9" s="129">
        <f>27156-E9</f>
        <v>7352</v>
      </c>
      <c r="G9" s="129">
        <f>31574-F9-E9</f>
        <v>4418</v>
      </c>
      <c r="H9" s="129">
        <f>45514-G9-F9-E9</f>
        <v>13940</v>
      </c>
      <c r="I9" s="129">
        <f t="shared" ref="I9:I21" si="0">E9+F9+G9</f>
        <v>31574</v>
      </c>
    </row>
    <row r="10" spans="1:9" ht="16.5">
      <c r="A10" s="135"/>
      <c r="B10" s="22"/>
      <c r="C10" s="22" t="s">
        <v>0</v>
      </c>
      <c r="D10" s="28"/>
      <c r="E10" s="128"/>
      <c r="F10" s="128"/>
      <c r="G10" s="128"/>
      <c r="H10" s="128"/>
      <c r="I10" s="129" t="s">
        <v>0</v>
      </c>
    </row>
    <row r="11" spans="1:9" ht="16.5">
      <c r="A11" s="24">
        <v>0.05</v>
      </c>
      <c r="B11" s="19"/>
      <c r="C11" s="19" t="s">
        <v>96</v>
      </c>
      <c r="D11" s="19"/>
      <c r="E11" s="129">
        <v>20840</v>
      </c>
      <c r="F11" s="146">
        <f>36612-E11</f>
        <v>15772</v>
      </c>
      <c r="G11" s="129">
        <f>48637-F11-E11</f>
        <v>12025</v>
      </c>
      <c r="H11" s="146">
        <f>69439-G11-F11-E11</f>
        <v>20802</v>
      </c>
      <c r="I11" s="129">
        <f t="shared" si="0"/>
        <v>48637</v>
      </c>
    </row>
    <row r="12" spans="1:9" ht="16.5">
      <c r="A12" s="135"/>
      <c r="B12" s="22"/>
      <c r="C12" s="22" t="s">
        <v>0</v>
      </c>
      <c r="D12" s="28"/>
      <c r="E12" s="139"/>
      <c r="F12" s="139"/>
      <c r="G12" s="139"/>
      <c r="H12" s="139"/>
      <c r="I12" s="129" t="s">
        <v>0</v>
      </c>
    </row>
    <row r="13" spans="1:9" ht="16.5">
      <c r="A13" s="24">
        <v>0.04</v>
      </c>
      <c r="B13" s="19"/>
      <c r="C13" s="19" t="s">
        <v>97</v>
      </c>
      <c r="D13" s="19"/>
      <c r="E13" s="129">
        <v>61330</v>
      </c>
      <c r="F13" s="129">
        <v>30190</v>
      </c>
      <c r="G13" s="129">
        <v>40337</v>
      </c>
      <c r="H13" s="129">
        <f>50142</f>
        <v>50142</v>
      </c>
      <c r="I13" s="129">
        <f t="shared" si="0"/>
        <v>131857</v>
      </c>
    </row>
    <row r="14" spans="1:9" ht="16.5">
      <c r="A14" s="135"/>
      <c r="B14" s="22"/>
      <c r="C14" s="22" t="s">
        <v>0</v>
      </c>
      <c r="D14" s="28"/>
      <c r="E14" s="128"/>
      <c r="F14" s="128"/>
      <c r="G14" s="128"/>
      <c r="H14" s="128"/>
      <c r="I14" s="129" t="s">
        <v>0</v>
      </c>
    </row>
    <row r="15" spans="1:9" ht="16.5">
      <c r="A15" s="136">
        <v>0.05</v>
      </c>
      <c r="B15" s="42"/>
      <c r="C15" s="46" t="s">
        <v>47</v>
      </c>
      <c r="D15" s="42"/>
      <c r="E15" s="129">
        <v>78634.740000000005</v>
      </c>
      <c r="F15" s="129">
        <f>120847.81-E15</f>
        <v>42213.069999999992</v>
      </c>
      <c r="G15" s="129">
        <f>155907.21-F15-E15</f>
        <v>35059.399999999994</v>
      </c>
      <c r="H15" s="129">
        <f>201330.9-G15-F15-E15</f>
        <v>45423.69</v>
      </c>
      <c r="I15" s="129">
        <f t="shared" si="0"/>
        <v>155907.21</v>
      </c>
    </row>
    <row r="16" spans="1:9" ht="16.5">
      <c r="A16" s="135"/>
      <c r="B16" s="22"/>
      <c r="C16" s="22"/>
      <c r="D16" s="28"/>
      <c r="E16" s="128"/>
      <c r="F16" s="128"/>
      <c r="G16" s="128"/>
      <c r="H16" s="128"/>
      <c r="I16" s="129" t="s">
        <v>0</v>
      </c>
    </row>
    <row r="17" spans="1:9" ht="16.5">
      <c r="A17" s="18" t="s">
        <v>22</v>
      </c>
      <c r="B17" s="19"/>
      <c r="C17" s="19" t="s">
        <v>98</v>
      </c>
      <c r="D17" s="131" t="s">
        <v>0</v>
      </c>
      <c r="E17" s="146">
        <v>247.12</v>
      </c>
      <c r="F17" s="146">
        <f>702.27-E17</f>
        <v>455.15</v>
      </c>
      <c r="G17" s="129">
        <f>1946-F17</f>
        <v>1490.85</v>
      </c>
      <c r="H17" s="129">
        <v>596</v>
      </c>
      <c r="I17" s="129">
        <f t="shared" si="0"/>
        <v>2193.12</v>
      </c>
    </row>
    <row r="18" spans="1:9" ht="16.5">
      <c r="A18" s="135"/>
      <c r="B18" s="22"/>
      <c r="C18" s="22" t="s">
        <v>0</v>
      </c>
      <c r="D18" s="28"/>
      <c r="E18" s="128"/>
      <c r="F18" s="128"/>
      <c r="G18" s="128"/>
      <c r="H18" s="128"/>
      <c r="I18" s="129" t="s">
        <v>0</v>
      </c>
    </row>
    <row r="19" spans="1:9" ht="16.5">
      <c r="A19" s="24">
        <v>0.03</v>
      </c>
      <c r="B19" s="19"/>
      <c r="C19" s="19" t="s">
        <v>100</v>
      </c>
      <c r="D19" s="19"/>
      <c r="E19" s="129">
        <v>20696</v>
      </c>
      <c r="F19" s="146">
        <f>46030-E19</f>
        <v>25334</v>
      </c>
      <c r="G19" s="129">
        <f>50192-F19-E19</f>
        <v>4162</v>
      </c>
      <c r="H19" s="129">
        <f>58337-G19-F19-E19</f>
        <v>8145</v>
      </c>
      <c r="I19" s="129">
        <f t="shared" si="0"/>
        <v>50192</v>
      </c>
    </row>
    <row r="20" spans="1:9" ht="16.5">
      <c r="A20" s="135"/>
      <c r="B20" s="22"/>
      <c r="C20" s="22"/>
      <c r="D20" s="28"/>
      <c r="E20" s="128"/>
      <c r="F20" s="128"/>
      <c r="G20" s="128"/>
      <c r="H20" s="128"/>
      <c r="I20" s="129" t="s">
        <v>0</v>
      </c>
    </row>
    <row r="21" spans="1:9" ht="16.5">
      <c r="A21" s="24">
        <v>0.05</v>
      </c>
      <c r="B21" s="19"/>
      <c r="C21" s="19" t="s">
        <v>101</v>
      </c>
      <c r="D21" s="19"/>
      <c r="E21" s="129">
        <v>5591.84</v>
      </c>
      <c r="F21" s="146">
        <f>9302.37-E21</f>
        <v>3710.5300000000007</v>
      </c>
      <c r="G21" s="129">
        <f>10654-F21-E21</f>
        <v>1351.6299999999992</v>
      </c>
      <c r="H21" s="129">
        <f>14652.12-G21-F21-E21</f>
        <v>3998.1200000000008</v>
      </c>
      <c r="I21" s="129">
        <f t="shared" si="0"/>
        <v>10654</v>
      </c>
    </row>
    <row r="22" spans="1:9" ht="16.5">
      <c r="A22" s="135"/>
      <c r="B22" s="22"/>
      <c r="C22" s="22"/>
      <c r="D22" s="28"/>
      <c r="E22" s="128"/>
      <c r="F22" s="128"/>
      <c r="G22" s="128"/>
      <c r="H22" s="128"/>
      <c r="I22" s="128" t="s">
        <v>0</v>
      </c>
    </row>
    <row r="23" spans="1:9" ht="16.5">
      <c r="A23" s="24">
        <v>0.05</v>
      </c>
      <c r="B23" s="19"/>
      <c r="C23" s="19" t="s">
        <v>102</v>
      </c>
      <c r="D23" s="19"/>
      <c r="E23" s="129">
        <v>18754</v>
      </c>
      <c r="F23" s="129">
        <f>25778-E23</f>
        <v>7024</v>
      </c>
      <c r="G23" s="129">
        <f>28005-F23-E23</f>
        <v>2227</v>
      </c>
      <c r="H23" s="129">
        <f>31746-G23-F23-E23</f>
        <v>3741</v>
      </c>
      <c r="I23" s="129">
        <f>E23+F23+G23</f>
        <v>28005</v>
      </c>
    </row>
    <row r="24" spans="1:9" ht="16.5">
      <c r="A24" s="135"/>
      <c r="B24" s="22"/>
      <c r="C24" s="22" t="s">
        <v>0</v>
      </c>
      <c r="D24" s="28"/>
      <c r="E24" s="128"/>
      <c r="F24" s="128"/>
      <c r="G24" s="128"/>
      <c r="H24" s="128"/>
      <c r="I24" s="128"/>
    </row>
    <row r="25" spans="1:9" ht="16.5">
      <c r="A25" s="24">
        <v>0.04</v>
      </c>
      <c r="B25" s="19"/>
      <c r="C25" s="19" t="s">
        <v>103</v>
      </c>
      <c r="D25" s="19"/>
      <c r="E25" s="129">
        <v>161953</v>
      </c>
      <c r="F25" s="129">
        <f>276855-E25</f>
        <v>114902</v>
      </c>
      <c r="G25" s="129">
        <f>329626-F25-E25</f>
        <v>52771</v>
      </c>
      <c r="H25" s="129">
        <f>424786-G25-F25-E25</f>
        <v>95160</v>
      </c>
      <c r="I25" s="129">
        <f t="shared" ref="I25:I31" si="1">E25+F25+G25</f>
        <v>329626</v>
      </c>
    </row>
    <row r="26" spans="1:9" ht="16.5">
      <c r="A26" s="135"/>
      <c r="B26" s="22"/>
      <c r="C26" s="22" t="s">
        <v>0</v>
      </c>
      <c r="D26" s="28"/>
      <c r="E26" s="128"/>
      <c r="F26" s="128"/>
      <c r="G26" s="128"/>
      <c r="H26" s="128"/>
      <c r="I26" s="129" t="s">
        <v>0</v>
      </c>
    </row>
    <row r="27" spans="1:9" ht="16.5">
      <c r="A27" s="18" t="s">
        <v>22</v>
      </c>
      <c r="B27" s="19"/>
      <c r="C27" s="19" t="s">
        <v>104</v>
      </c>
      <c r="D27" s="19"/>
      <c r="E27" s="129">
        <v>1028</v>
      </c>
      <c r="F27" s="146">
        <f>3079-E27</f>
        <v>2051</v>
      </c>
      <c r="G27" s="129">
        <f>3709-F27-E27</f>
        <v>630</v>
      </c>
      <c r="H27" s="129">
        <f>4628-G27-F27-E27</f>
        <v>919</v>
      </c>
      <c r="I27" s="129">
        <f t="shared" si="1"/>
        <v>3709</v>
      </c>
    </row>
    <row r="28" spans="1:9" ht="16.5">
      <c r="A28" s="135"/>
      <c r="B28" s="22"/>
      <c r="C28" s="22"/>
      <c r="D28" s="28"/>
      <c r="E28" s="128"/>
      <c r="F28" s="128"/>
      <c r="G28" s="128"/>
      <c r="H28" s="128"/>
      <c r="I28" s="129" t="s">
        <v>0</v>
      </c>
    </row>
    <row r="29" spans="1:9" ht="16.5">
      <c r="A29" s="24">
        <v>0.03</v>
      </c>
      <c r="B29" s="19"/>
      <c r="C29" s="19" t="s">
        <v>128</v>
      </c>
      <c r="D29" s="19"/>
      <c r="E29" s="129">
        <v>272</v>
      </c>
      <c r="F29" s="129">
        <f>1063-E29</f>
        <v>791</v>
      </c>
      <c r="G29" s="146">
        <f>2178-F29-E29</f>
        <v>1115</v>
      </c>
      <c r="H29" s="129">
        <f>2509-G29-F29-E29</f>
        <v>331</v>
      </c>
      <c r="I29" s="129">
        <f t="shared" si="1"/>
        <v>2178</v>
      </c>
    </row>
    <row r="30" spans="1:9" ht="16.5">
      <c r="A30" s="135"/>
      <c r="B30" s="22"/>
      <c r="C30" s="22" t="s">
        <v>0</v>
      </c>
      <c r="D30" s="28"/>
      <c r="E30" s="128"/>
      <c r="F30" s="128"/>
      <c r="G30" s="128"/>
      <c r="H30" s="128"/>
      <c r="I30" s="129" t="s">
        <v>0</v>
      </c>
    </row>
    <row r="31" spans="1:9" ht="16.5">
      <c r="A31" s="24">
        <v>0.05</v>
      </c>
      <c r="B31" s="19"/>
      <c r="C31" s="19" t="s">
        <v>65</v>
      </c>
      <c r="D31" s="132"/>
      <c r="E31" s="129">
        <v>90883</v>
      </c>
      <c r="F31" s="129">
        <f>158443-E31</f>
        <v>67560</v>
      </c>
      <c r="G31" s="129">
        <f>207530-F31-E31</f>
        <v>49087</v>
      </c>
      <c r="H31" s="129">
        <f>277997-G31-F31-E31</f>
        <v>70467</v>
      </c>
      <c r="I31" s="129">
        <f t="shared" si="1"/>
        <v>207530</v>
      </c>
    </row>
    <row r="32" spans="1:9" ht="16.5">
      <c r="A32" s="21"/>
      <c r="B32" s="22"/>
      <c r="C32" s="22"/>
      <c r="D32" s="28"/>
      <c r="E32" s="128"/>
      <c r="F32" s="128"/>
      <c r="G32" s="128"/>
      <c r="H32" s="128"/>
      <c r="I32" s="128"/>
    </row>
    <row r="33" spans="1:9" ht="17.25" thickBot="1">
      <c r="A33" s="30"/>
      <c r="B33" s="31"/>
      <c r="C33" s="31" t="s">
        <v>105</v>
      </c>
      <c r="D33" s="31"/>
      <c r="E33" s="129">
        <f>SUM(E9:E32)</f>
        <v>480033.69999999995</v>
      </c>
      <c r="F33" s="129">
        <f>SUM(F9:F32)</f>
        <v>317354.75</v>
      </c>
      <c r="G33" s="129">
        <f>SUM(G9:G32)</f>
        <v>204673.88</v>
      </c>
      <c r="H33" s="129">
        <f>SUM(H9:H32)</f>
        <v>313664.81</v>
      </c>
      <c r="I33" s="129">
        <f>SUM(I9:I32)</f>
        <v>1002062.33</v>
      </c>
    </row>
    <row r="34" spans="1:9" ht="15.75" thickTop="1">
      <c r="A34" s="5"/>
      <c r="B34" s="6"/>
      <c r="C34" s="6"/>
      <c r="D34" s="6"/>
      <c r="I34">
        <f>E33+F33+G33+H33</f>
        <v>1315727.1399999999</v>
      </c>
    </row>
    <row r="35" spans="1:9" ht="15.75">
      <c r="A35" s="34" t="s">
        <v>0</v>
      </c>
      <c r="B35" s="35"/>
      <c r="C35" s="6" t="s">
        <v>0</v>
      </c>
      <c r="D35" s="6"/>
    </row>
    <row r="36" spans="1:9" ht="15.75">
      <c r="A36" s="36"/>
      <c r="B36" s="6"/>
      <c r="C36" s="6"/>
      <c r="D36" s="6"/>
    </row>
    <row r="37" spans="1:9">
      <c r="A37" s="134"/>
      <c r="B37" s="133"/>
      <c r="C37" s="133"/>
      <c r="D37" s="1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6">
        <f ca="1">NOW()</f>
        <v>43494.548466203705</v>
      </c>
    </row>
    <row r="2" spans="1:7">
      <c r="A2" s="53" t="s">
        <v>0</v>
      </c>
      <c r="B2" s="52"/>
      <c r="C2" s="52" t="s">
        <v>107</v>
      </c>
      <c r="D2" s="52"/>
      <c r="E2" s="52"/>
      <c r="F2" s="52"/>
      <c r="G2" s="54"/>
    </row>
    <row r="3" spans="1:7">
      <c r="A3" s="53" t="s">
        <v>0</v>
      </c>
      <c r="B3" s="52"/>
      <c r="C3" s="52" t="s">
        <v>120</v>
      </c>
      <c r="D3" s="52"/>
      <c r="E3" s="52"/>
      <c r="F3" s="52"/>
      <c r="G3" s="54"/>
    </row>
    <row r="4" spans="1:7">
      <c r="A4" s="81" t="s">
        <v>2</v>
      </c>
      <c r="B4" s="82" t="s">
        <v>2</v>
      </c>
      <c r="C4" s="82" t="s">
        <v>2</v>
      </c>
      <c r="D4" s="82" t="s">
        <v>2</v>
      </c>
      <c r="E4" s="82" t="s">
        <v>2</v>
      </c>
      <c r="F4" s="82" t="s">
        <v>2</v>
      </c>
      <c r="G4" s="83" t="s">
        <v>2</v>
      </c>
    </row>
    <row r="5" spans="1:7">
      <c r="A5" s="53"/>
      <c r="B5" s="87"/>
      <c r="C5" s="88" t="s">
        <v>3</v>
      </c>
      <c r="D5" s="88" t="s">
        <v>4</v>
      </c>
      <c r="E5" s="88" t="s">
        <v>5</v>
      </c>
      <c r="F5" s="88" t="s">
        <v>6</v>
      </c>
      <c r="G5" s="89"/>
    </row>
    <row r="6" spans="1:7">
      <c r="A6" s="53"/>
      <c r="B6" s="87"/>
      <c r="C6" s="88" t="s">
        <v>7</v>
      </c>
      <c r="D6" s="88" t="s">
        <v>8</v>
      </c>
      <c r="E6" s="88" t="s">
        <v>7</v>
      </c>
      <c r="F6" s="88" t="s">
        <v>72</v>
      </c>
      <c r="G6" s="90" t="s">
        <v>9</v>
      </c>
    </row>
    <row r="7" spans="1:7">
      <c r="A7" s="80"/>
      <c r="B7" s="91" t="s">
        <v>10</v>
      </c>
      <c r="C7" s="92" t="s">
        <v>11</v>
      </c>
      <c r="D7" s="92" t="s">
        <v>12</v>
      </c>
      <c r="E7" s="93" t="s">
        <v>13</v>
      </c>
      <c r="F7" s="92" t="s">
        <v>14</v>
      </c>
      <c r="G7" s="94" t="s">
        <v>15</v>
      </c>
    </row>
    <row r="8" spans="1:7" ht="15.75">
      <c r="A8" s="95" t="s">
        <v>16</v>
      </c>
      <c r="B8" s="140" t="s">
        <v>17</v>
      </c>
      <c r="C8" s="138">
        <v>119104</v>
      </c>
      <c r="D8" s="138">
        <f>222455-C8</f>
        <v>103351</v>
      </c>
      <c r="E8" s="138">
        <f>328653-D8-C8</f>
        <v>106198</v>
      </c>
      <c r="F8" s="138">
        <f>473391-E8-D8-C8</f>
        <v>144738</v>
      </c>
      <c r="G8" s="138">
        <f>C8+D8+E8+F8</f>
        <v>473391</v>
      </c>
    </row>
    <row r="9" spans="1:7" ht="15.75">
      <c r="A9" s="143">
        <v>0.05</v>
      </c>
      <c r="B9" s="103" t="s">
        <v>77</v>
      </c>
      <c r="C9" s="138">
        <v>2695640</v>
      </c>
      <c r="D9" s="138">
        <f>6152184-C9</f>
        <v>3456544</v>
      </c>
      <c r="E9" s="145">
        <f>6687909-D9-C9</f>
        <v>535725</v>
      </c>
      <c r="F9" s="138">
        <f>9274437-E9-D9-C9</f>
        <v>2586528</v>
      </c>
      <c r="G9" s="138">
        <f>C9+D9+E9+F9</f>
        <v>9274437</v>
      </c>
    </row>
    <row r="10" spans="1:7" ht="15.75">
      <c r="A10" s="143">
        <v>0.01</v>
      </c>
      <c r="B10" s="103" t="s">
        <v>80</v>
      </c>
      <c r="C10" s="138">
        <v>539128</v>
      </c>
      <c r="D10" s="138">
        <f>1168135-C10</f>
        <v>629007</v>
      </c>
      <c r="E10" s="145">
        <f>1275213-D10-C10</f>
        <v>107078</v>
      </c>
      <c r="F10" s="138">
        <f>1792519-E10-D10-C10</f>
        <v>517306</v>
      </c>
      <c r="G10" s="138">
        <f t="shared" ref="G10:G71" si="0">C10+D10+E10+F10</f>
        <v>1792519</v>
      </c>
    </row>
    <row r="11" spans="1:7" ht="15.75">
      <c r="A11" s="95" t="s">
        <v>16</v>
      </c>
      <c r="B11" s="99" t="s">
        <v>18</v>
      </c>
      <c r="C11" s="145">
        <v>57558</v>
      </c>
      <c r="D11" s="138">
        <f>73050-C11</f>
        <v>15492</v>
      </c>
      <c r="E11" s="138">
        <f>207101-D11-C11</f>
        <v>134051</v>
      </c>
      <c r="F11" s="145">
        <f>264781-E11-D11-C11</f>
        <v>57680</v>
      </c>
      <c r="G11" s="138">
        <f t="shared" si="0"/>
        <v>264781</v>
      </c>
    </row>
    <row r="12" spans="1:7" ht="15.75">
      <c r="A12" s="95" t="s">
        <v>16</v>
      </c>
      <c r="B12" s="99" t="s">
        <v>19</v>
      </c>
      <c r="C12" s="145">
        <v>54153</v>
      </c>
      <c r="D12" s="145">
        <f>84700-C12</f>
        <v>30547</v>
      </c>
      <c r="E12" s="138">
        <f>260358-D12-C12</f>
        <v>175658</v>
      </c>
      <c r="F12" s="145">
        <f>314511-E12-D12-C12</f>
        <v>54153</v>
      </c>
      <c r="G12" s="138">
        <f t="shared" si="0"/>
        <v>314511</v>
      </c>
    </row>
    <row r="13" spans="1:7" ht="15.75">
      <c r="A13" s="95" t="s">
        <v>16</v>
      </c>
      <c r="B13" s="99" t="s">
        <v>20</v>
      </c>
      <c r="C13" s="138">
        <v>2727.04</v>
      </c>
      <c r="D13" s="138">
        <f>6201.05-C13</f>
        <v>3474.01</v>
      </c>
      <c r="E13" s="138">
        <f>7528.72-D13-C13</f>
        <v>1327.67</v>
      </c>
      <c r="F13" s="138">
        <f>11730-E13-D13-C13</f>
        <v>4201.28</v>
      </c>
      <c r="G13" s="138">
        <f t="shared" si="0"/>
        <v>11730</v>
      </c>
    </row>
    <row r="14" spans="1:7" ht="15.75">
      <c r="A14" s="101">
        <v>0.04</v>
      </c>
      <c r="B14" s="99" t="s">
        <v>21</v>
      </c>
      <c r="C14" s="145">
        <v>11643</v>
      </c>
      <c r="D14" s="145">
        <f>21040-C14</f>
        <v>9397</v>
      </c>
      <c r="E14" s="145">
        <f>8582</f>
        <v>8582</v>
      </c>
      <c r="F14" s="145">
        <f>46119-E14-D14-C14</f>
        <v>16497</v>
      </c>
      <c r="G14" s="138">
        <f t="shared" si="0"/>
        <v>46119</v>
      </c>
    </row>
    <row r="15" spans="1:7" ht="15.75">
      <c r="A15" s="95" t="s">
        <v>22</v>
      </c>
      <c r="B15" s="99" t="s">
        <v>23</v>
      </c>
      <c r="C15" s="138">
        <v>29416</v>
      </c>
      <c r="D15" s="138">
        <v>27131</v>
      </c>
      <c r="E15" s="138">
        <v>16276</v>
      </c>
      <c r="F15" s="138">
        <v>24216</v>
      </c>
      <c r="G15" s="138">
        <f t="shared" si="0"/>
        <v>97039</v>
      </c>
    </row>
    <row r="16" spans="1:7" ht="15.75">
      <c r="A16" s="101">
        <v>0.03</v>
      </c>
      <c r="B16" s="99" t="s">
        <v>74</v>
      </c>
      <c r="C16" s="138">
        <v>17125</v>
      </c>
      <c r="D16" s="145">
        <f>30315-C16</f>
        <v>13190</v>
      </c>
      <c r="E16" s="138">
        <f>42916-13190-17125</f>
        <v>12601</v>
      </c>
      <c r="F16" s="138">
        <f>58671-E16-D16-C16</f>
        <v>15755</v>
      </c>
      <c r="G16" s="138">
        <f t="shared" si="0"/>
        <v>58671</v>
      </c>
    </row>
    <row r="17" spans="1:8" ht="15.75">
      <c r="A17" s="101">
        <v>0.03</v>
      </c>
      <c r="B17" s="99" t="s">
        <v>75</v>
      </c>
      <c r="C17" s="138">
        <v>2467.5700000000002</v>
      </c>
      <c r="D17" s="138">
        <f>3415.21-C17</f>
        <v>947.63999999999987</v>
      </c>
      <c r="E17" s="138">
        <f>3931.65-D17-C17</f>
        <v>516.44000000000005</v>
      </c>
      <c r="F17" s="138">
        <f>4562.34-E17-D17-C17</f>
        <v>630.69000000000005</v>
      </c>
      <c r="G17" s="138">
        <f t="shared" si="0"/>
        <v>4562.34</v>
      </c>
    </row>
    <row r="18" spans="1:8" ht="15.75">
      <c r="A18" s="101">
        <v>0.05</v>
      </c>
      <c r="B18" s="99" t="s">
        <v>24</v>
      </c>
      <c r="C18" s="145">
        <v>447683</v>
      </c>
      <c r="D18" s="138">
        <f>820552-C18</f>
        <v>372869</v>
      </c>
      <c r="E18" s="138">
        <f>1167994-D18-C18</f>
        <v>347442</v>
      </c>
      <c r="F18" s="138">
        <f>1583121-E18-D18-C18</f>
        <v>415127</v>
      </c>
      <c r="G18" s="138">
        <f t="shared" si="0"/>
        <v>1583121</v>
      </c>
    </row>
    <row r="19" spans="1:8" ht="15.75">
      <c r="A19" s="95" t="s">
        <v>22</v>
      </c>
      <c r="B19" s="99" t="s">
        <v>25</v>
      </c>
      <c r="C19" s="145">
        <v>1234</v>
      </c>
      <c r="D19" s="145">
        <f>3480-C19</f>
        <v>2246</v>
      </c>
      <c r="E19" s="138">
        <f>6085-D19-C19</f>
        <v>2605</v>
      </c>
      <c r="F19" s="138">
        <f>11889-E19-D19-C19</f>
        <v>5804</v>
      </c>
      <c r="G19" s="138">
        <f t="shared" si="0"/>
        <v>11889</v>
      </c>
    </row>
    <row r="20" spans="1:8" ht="15.75">
      <c r="A20" s="101">
        <v>0.04</v>
      </c>
      <c r="B20" s="99" t="s">
        <v>26</v>
      </c>
      <c r="C20" s="138">
        <v>37429</v>
      </c>
      <c r="D20" s="138">
        <f>65209-C20</f>
        <v>27780</v>
      </c>
      <c r="E20" s="138">
        <f>69443-D20-C20</f>
        <v>4234</v>
      </c>
      <c r="F20" s="138">
        <f>77981-E20-D20-C20</f>
        <v>8538</v>
      </c>
      <c r="G20" s="138">
        <f t="shared" si="0"/>
        <v>77981</v>
      </c>
    </row>
    <row r="21" spans="1:8" ht="15.75">
      <c r="A21" s="95" t="s">
        <v>27</v>
      </c>
      <c r="B21" s="99" t="s">
        <v>28</v>
      </c>
      <c r="C21" s="138">
        <v>9699</v>
      </c>
      <c r="D21" s="145">
        <f>14095-C21</f>
        <v>4396</v>
      </c>
      <c r="E21" s="138">
        <f>16826-D21-C21</f>
        <v>2731</v>
      </c>
      <c r="F21" s="138">
        <f>20371-E21-D21-C21</f>
        <v>3545</v>
      </c>
      <c r="G21" s="138">
        <f t="shared" si="0"/>
        <v>20371</v>
      </c>
    </row>
    <row r="22" spans="1:8" ht="15.75">
      <c r="A22" s="101">
        <v>0.05</v>
      </c>
      <c r="B22" s="99" t="s">
        <v>29</v>
      </c>
      <c r="C22" s="145">
        <v>45822.11</v>
      </c>
      <c r="D22" s="138">
        <f>72418.33-C22:C22</f>
        <v>26596.22</v>
      </c>
      <c r="E22" s="138">
        <f>91048.67-D22-C22</f>
        <v>18630.339999999997</v>
      </c>
      <c r="F22" s="138">
        <f>116796.61-E22-D22-C22</f>
        <v>25747.940000000002</v>
      </c>
      <c r="G22" s="138">
        <f t="shared" si="0"/>
        <v>116796.61</v>
      </c>
    </row>
    <row r="23" spans="1:8" ht="15.75">
      <c r="A23" s="101">
        <v>0.05</v>
      </c>
      <c r="B23" s="99" t="s">
        <v>76</v>
      </c>
      <c r="C23" s="138">
        <v>46588</v>
      </c>
      <c r="D23" s="138">
        <f>74732-C23</f>
        <v>28144</v>
      </c>
      <c r="E23" s="138">
        <f>95937-D23-C23</f>
        <v>21205</v>
      </c>
      <c r="F23" s="145">
        <f>113973-E23-D23-C23</f>
        <v>18036</v>
      </c>
      <c r="G23" s="138">
        <f t="shared" si="0"/>
        <v>113973</v>
      </c>
    </row>
    <row r="24" spans="1:8" ht="15.75">
      <c r="A24" s="101">
        <v>0.05</v>
      </c>
      <c r="B24" s="99" t="s">
        <v>30</v>
      </c>
      <c r="C24" s="138">
        <v>147273</v>
      </c>
      <c r="D24" s="138">
        <f>294671-C24</f>
        <v>147398</v>
      </c>
      <c r="E24" s="138">
        <f>446642-D24-C24</f>
        <v>151971</v>
      </c>
      <c r="F24" s="138">
        <f>625603+1000-E24-D24-C24</f>
        <v>179961</v>
      </c>
      <c r="G24" s="138">
        <f t="shared" si="0"/>
        <v>626603</v>
      </c>
    </row>
    <row r="25" spans="1:8" ht="15.75">
      <c r="A25" s="101">
        <v>0.05</v>
      </c>
      <c r="B25" s="99" t="s">
        <v>31</v>
      </c>
      <c r="C25" s="145">
        <v>876</v>
      </c>
      <c r="D25" s="145">
        <f>1754-C25</f>
        <v>878</v>
      </c>
      <c r="E25" s="145">
        <f>2694-D25-C25</f>
        <v>940</v>
      </c>
      <c r="F25" s="145">
        <f>3493-E25-D25-C25</f>
        <v>799</v>
      </c>
      <c r="G25" s="138">
        <f t="shared" si="0"/>
        <v>3493</v>
      </c>
    </row>
    <row r="26" spans="1:8" ht="15.75">
      <c r="A26" s="104">
        <v>3.5000000000000003E-2</v>
      </c>
      <c r="B26" s="99" t="s">
        <v>73</v>
      </c>
      <c r="C26" s="145">
        <v>1458</v>
      </c>
      <c r="D26" s="145">
        <f>3071-C26</f>
        <v>1613</v>
      </c>
      <c r="E26" s="145">
        <f>3548-D26-C26</f>
        <v>477</v>
      </c>
      <c r="F26" s="145">
        <f>4983-E26-D26-C26</f>
        <v>1435</v>
      </c>
      <c r="G26" s="138">
        <f t="shared" si="0"/>
        <v>4983</v>
      </c>
    </row>
    <row r="27" spans="1:8" ht="15.75">
      <c r="A27" s="95" t="s">
        <v>22</v>
      </c>
      <c r="B27" s="99" t="s">
        <v>32</v>
      </c>
      <c r="C27" s="145">
        <v>5694</v>
      </c>
      <c r="D27" s="145">
        <f>9614-C27</f>
        <v>3920</v>
      </c>
      <c r="E27" s="138">
        <f>11457-D27-C27</f>
        <v>1843</v>
      </c>
      <c r="F27" s="138">
        <f>13814-E27-D27-C27</f>
        <v>2357</v>
      </c>
      <c r="G27" s="138">
        <f t="shared" si="0"/>
        <v>13814</v>
      </c>
    </row>
    <row r="28" spans="1:8" ht="15.75">
      <c r="A28" s="105" t="s">
        <v>16</v>
      </c>
      <c r="B28" s="99" t="s">
        <v>79</v>
      </c>
      <c r="C28" s="138">
        <v>89970</v>
      </c>
      <c r="D28" s="138">
        <f>164629-C28</f>
        <v>74659</v>
      </c>
      <c r="E28" s="138">
        <f>254619-D28-C28</f>
        <v>89990</v>
      </c>
      <c r="F28" s="138">
        <f>350666-E28-D28-C28</f>
        <v>96047</v>
      </c>
      <c r="G28" s="138">
        <f t="shared" si="0"/>
        <v>350666</v>
      </c>
    </row>
    <row r="29" spans="1:8" ht="15.75">
      <c r="A29" s="95" t="s">
        <v>22</v>
      </c>
      <c r="B29" s="99" t="s">
        <v>33</v>
      </c>
      <c r="C29" s="138">
        <v>21288</v>
      </c>
      <c r="D29" s="138">
        <f>28098-C29</f>
        <v>6810</v>
      </c>
      <c r="E29" s="138">
        <f>32950-D29-C29</f>
        <v>4852</v>
      </c>
      <c r="F29" s="138">
        <f>37860-E29-D29-C29</f>
        <v>4910</v>
      </c>
      <c r="G29" s="138">
        <f t="shared" si="0"/>
        <v>37860</v>
      </c>
    </row>
    <row r="30" spans="1:8" ht="15.75">
      <c r="A30" s="101">
        <v>0.05</v>
      </c>
      <c r="B30" s="99" t="s">
        <v>71</v>
      </c>
      <c r="C30" s="138">
        <v>15209.49</v>
      </c>
      <c r="D30" s="145">
        <f>23863.72-C30</f>
        <v>8654.2300000000014</v>
      </c>
      <c r="E30" s="138">
        <f>27328.53-D30-C30</f>
        <v>3464.8099999999959</v>
      </c>
      <c r="F30" s="138">
        <f>35519.73-E30-D30-C30</f>
        <v>8191.2000000000025</v>
      </c>
      <c r="G30" s="138">
        <f t="shared" si="0"/>
        <v>35519.730000000003</v>
      </c>
    </row>
    <row r="31" spans="1:8" ht="15.75">
      <c r="A31" s="101">
        <v>0.05</v>
      </c>
      <c r="B31" s="99" t="s">
        <v>34</v>
      </c>
      <c r="C31" s="145">
        <v>5635</v>
      </c>
      <c r="D31" s="145">
        <f>28529-C31</f>
        <v>22894</v>
      </c>
      <c r="E31" s="145">
        <f>33972-D31-C31</f>
        <v>5443</v>
      </c>
      <c r="F31" s="145">
        <f>36853-E31-D31-C31</f>
        <v>2881</v>
      </c>
      <c r="G31" s="138">
        <f t="shared" si="0"/>
        <v>36853</v>
      </c>
      <c r="H31" t="s">
        <v>0</v>
      </c>
    </row>
    <row r="32" spans="1:8" ht="15.75">
      <c r="A32" s="95" t="s">
        <v>16</v>
      </c>
      <c r="B32" s="99" t="s">
        <v>35</v>
      </c>
      <c r="C32" s="138">
        <v>311105</v>
      </c>
      <c r="D32" s="138">
        <f>644631-C32</f>
        <v>333526</v>
      </c>
      <c r="E32" s="138">
        <f>864333-D32-C32</f>
        <v>219702</v>
      </c>
      <c r="F32" s="138">
        <f>1190133-E32-D32-C32</f>
        <v>325800</v>
      </c>
      <c r="G32" s="138">
        <f t="shared" si="0"/>
        <v>1190133</v>
      </c>
    </row>
    <row r="33" spans="1:9" ht="15.75">
      <c r="A33" s="95" t="s">
        <v>16</v>
      </c>
      <c r="B33" s="99" t="s">
        <v>36</v>
      </c>
      <c r="C33" s="138">
        <v>9516</v>
      </c>
      <c r="D33" s="138">
        <f>17655-C33</f>
        <v>8139</v>
      </c>
      <c r="E33" s="145">
        <f>22306-D33-C33</f>
        <v>4651</v>
      </c>
      <c r="F33" s="138">
        <f>29836-E33-D33-C33</f>
        <v>7530</v>
      </c>
      <c r="G33" s="138">
        <f t="shared" si="0"/>
        <v>29836</v>
      </c>
    </row>
    <row r="34" spans="1:9" ht="15.75">
      <c r="A34" s="95" t="s">
        <v>16</v>
      </c>
      <c r="B34" s="99" t="s">
        <v>37</v>
      </c>
      <c r="C34" s="145">
        <v>424355</v>
      </c>
      <c r="D34" s="138">
        <f>749773-C34</f>
        <v>325418</v>
      </c>
      <c r="E34" s="138">
        <f>1062144-D34-C34</f>
        <v>312371</v>
      </c>
      <c r="F34" s="138">
        <f>1374974-E34-D34-C34</f>
        <v>312830</v>
      </c>
      <c r="G34" s="138">
        <f t="shared" si="0"/>
        <v>1374974</v>
      </c>
      <c r="I34" t="s">
        <v>0</v>
      </c>
    </row>
    <row r="35" spans="1:9" ht="15.75">
      <c r="A35" s="95" t="s">
        <v>16</v>
      </c>
      <c r="B35" s="99" t="s">
        <v>38</v>
      </c>
      <c r="C35" s="138">
        <v>108867</v>
      </c>
      <c r="D35" s="145">
        <f>206196-C35</f>
        <v>97329</v>
      </c>
      <c r="E35" s="138">
        <f>271949-D35-C35</f>
        <v>65753</v>
      </c>
      <c r="F35" s="138">
        <f>356065-E35-D35-C35</f>
        <v>84116</v>
      </c>
      <c r="G35" s="138">
        <f t="shared" si="0"/>
        <v>356065</v>
      </c>
    </row>
    <row r="36" spans="1:9" ht="15.75">
      <c r="A36" s="95" t="s">
        <v>22</v>
      </c>
      <c r="B36" s="99" t="s">
        <v>39</v>
      </c>
      <c r="C36" s="138">
        <v>707.46</v>
      </c>
      <c r="D36" s="138">
        <f>1186.83-C36</f>
        <v>479.36999999999989</v>
      </c>
      <c r="E36" s="138">
        <f>1976.75-D36-C36</f>
        <v>789.92000000000007</v>
      </c>
      <c r="F36" s="138">
        <f>2515-E36-D36-C36</f>
        <v>538.25</v>
      </c>
      <c r="G36" s="138">
        <f t="shared" si="0"/>
        <v>2515</v>
      </c>
    </row>
    <row r="37" spans="1:9" ht="15.75">
      <c r="A37" s="101">
        <v>0.05</v>
      </c>
      <c r="B37" s="99" t="s">
        <v>40</v>
      </c>
      <c r="C37" s="138">
        <v>404025</v>
      </c>
      <c r="D37" s="138">
        <f>782191-C37</f>
        <v>378166</v>
      </c>
      <c r="E37" s="138">
        <f>1169155-D37-C37</f>
        <v>386964</v>
      </c>
      <c r="F37" s="138">
        <f>1587310-E37-D37-C37</f>
        <v>418155</v>
      </c>
      <c r="G37" s="138">
        <f t="shared" si="0"/>
        <v>1587310</v>
      </c>
    </row>
    <row r="38" spans="1:9" ht="15.75">
      <c r="A38" s="101">
        <v>0.03</v>
      </c>
      <c r="B38" s="99" t="s">
        <v>41</v>
      </c>
      <c r="C38" s="138">
        <v>874</v>
      </c>
      <c r="D38" s="138">
        <f>1418-C38</f>
        <v>544</v>
      </c>
      <c r="E38" s="138">
        <f>1923-D38-C38</f>
        <v>505</v>
      </c>
      <c r="F38" s="138">
        <f>2449-E38-D38-C38</f>
        <v>526</v>
      </c>
      <c r="G38" s="138">
        <f t="shared" si="0"/>
        <v>2449</v>
      </c>
    </row>
    <row r="39" spans="1:9" ht="15.75">
      <c r="A39" s="95" t="s">
        <v>16</v>
      </c>
      <c r="B39" s="99" t="s">
        <v>42</v>
      </c>
      <c r="C39" s="145">
        <v>5059</v>
      </c>
      <c r="D39" s="138">
        <f>8408-C39</f>
        <v>3349</v>
      </c>
      <c r="E39" s="145">
        <f>10993-D39-C39</f>
        <v>2585</v>
      </c>
      <c r="F39" s="138">
        <f>14245-E39-D39-C39</f>
        <v>3252</v>
      </c>
      <c r="G39" s="138">
        <f t="shared" si="0"/>
        <v>14245</v>
      </c>
    </row>
    <row r="40" spans="1:9" ht="15.75">
      <c r="A40" s="95" t="s">
        <v>16</v>
      </c>
      <c r="B40" s="99" t="s">
        <v>43</v>
      </c>
      <c r="C40" s="145">
        <v>482662</v>
      </c>
      <c r="D40" s="145">
        <f>977411-C40</f>
        <v>494749</v>
      </c>
      <c r="E40" s="145">
        <f>1423284-D40-C40</f>
        <v>445873</v>
      </c>
      <c r="F40" s="138">
        <f>1889254-E40-D40-C40</f>
        <v>465970</v>
      </c>
      <c r="G40" s="138">
        <f t="shared" si="0"/>
        <v>1889254</v>
      </c>
    </row>
    <row r="41" spans="1:9" ht="15.75">
      <c r="A41" s="220">
        <v>2.5</v>
      </c>
      <c r="B41" s="99" t="s">
        <v>142</v>
      </c>
      <c r="C41" s="145">
        <v>328413.33</v>
      </c>
      <c r="D41" s="145">
        <f>647491.91-C41</f>
        <v>319078.58</v>
      </c>
      <c r="E41" s="145">
        <f>944207.8-D41-C41</f>
        <v>296715.88999999996</v>
      </c>
      <c r="F41" s="138">
        <f>1238042-E41-D41-C41</f>
        <v>293834.2</v>
      </c>
      <c r="G41" s="138">
        <f t="shared" si="0"/>
        <v>1238042</v>
      </c>
    </row>
    <row r="42" spans="1:9" ht="15.75">
      <c r="A42" s="95" t="s">
        <v>27</v>
      </c>
      <c r="B42" s="99" t="s">
        <v>44</v>
      </c>
      <c r="C42" s="145">
        <v>72444</v>
      </c>
      <c r="D42" s="138">
        <f>120266-C42</f>
        <v>47822</v>
      </c>
      <c r="E42" s="138">
        <f>157650-D42-C42</f>
        <v>37384</v>
      </c>
      <c r="F42" s="138">
        <f>226200-E42-D42-C42</f>
        <v>68550</v>
      </c>
      <c r="G42" s="138">
        <f t="shared" si="0"/>
        <v>226200</v>
      </c>
    </row>
    <row r="43" spans="1:9" ht="15.75">
      <c r="A43" s="95" t="s">
        <v>22</v>
      </c>
      <c r="B43" s="99" t="s">
        <v>45</v>
      </c>
      <c r="C43" s="138">
        <v>3354</v>
      </c>
      <c r="D43" s="138">
        <f>4743-C43</f>
        <v>1389</v>
      </c>
      <c r="E43" s="138">
        <f>5774-D43-C43</f>
        <v>1031</v>
      </c>
      <c r="F43" s="138">
        <f>8172-E43-D43-C43</f>
        <v>2398</v>
      </c>
      <c r="G43" s="138">
        <f t="shared" si="0"/>
        <v>8172</v>
      </c>
    </row>
    <row r="44" spans="1:9" ht="15.75">
      <c r="A44" s="95" t="s">
        <v>16</v>
      </c>
      <c r="B44" s="99" t="s">
        <v>46</v>
      </c>
      <c r="C44" s="145">
        <v>55471</v>
      </c>
      <c r="D44" s="145">
        <f>95165-C44</f>
        <v>39694</v>
      </c>
      <c r="E44" s="138">
        <f>154157-D44-C44</f>
        <v>58992</v>
      </c>
      <c r="F44" s="138">
        <f>207379-E44-D44-C44</f>
        <v>53222</v>
      </c>
      <c r="G44" s="138">
        <f t="shared" si="0"/>
        <v>207379</v>
      </c>
    </row>
    <row r="45" spans="1:9" ht="15.75">
      <c r="A45" s="95" t="s">
        <v>27</v>
      </c>
      <c r="B45" s="99" t="s">
        <v>48</v>
      </c>
      <c r="C45" s="145">
        <v>19393.57</v>
      </c>
      <c r="D45" s="145">
        <f>33477.7-C45</f>
        <v>14084.129999999997</v>
      </c>
      <c r="E45" s="145">
        <f>42269.41-D45-C45</f>
        <v>8791.7100000000064</v>
      </c>
      <c r="F45" s="138">
        <f>59771.22-E45-D45-C45</f>
        <v>17501.809999999998</v>
      </c>
      <c r="G45" s="138">
        <f t="shared" si="0"/>
        <v>59771.22</v>
      </c>
    </row>
    <row r="46" spans="1:9" ht="15.75">
      <c r="A46" s="105" t="s">
        <v>16</v>
      </c>
      <c r="B46" s="99" t="s">
        <v>49</v>
      </c>
      <c r="C46" s="145">
        <v>18371</v>
      </c>
      <c r="D46" s="145">
        <f>35845-C46</f>
        <v>17474</v>
      </c>
      <c r="E46" s="138">
        <f>52739-D46-C46</f>
        <v>16894</v>
      </c>
      <c r="F46" s="138">
        <f>68979-E46-D46-C46</f>
        <v>16240</v>
      </c>
      <c r="G46" s="138">
        <f t="shared" si="0"/>
        <v>68979</v>
      </c>
    </row>
    <row r="47" spans="1:9" ht="15.75">
      <c r="A47" s="101">
        <v>0.04</v>
      </c>
      <c r="B47" s="99" t="s">
        <v>50</v>
      </c>
      <c r="C47" s="138">
        <v>1516.06</v>
      </c>
      <c r="D47" s="138">
        <f>2481.28-C47</f>
        <v>965.22000000000025</v>
      </c>
      <c r="E47" s="138">
        <f>2675-D47-C47</f>
        <v>193.7199999999998</v>
      </c>
      <c r="F47" s="145">
        <f>2674.56-E47-D47-C47+253.68</f>
        <v>253.23999999999995</v>
      </c>
      <c r="G47" s="138">
        <f t="shared" si="0"/>
        <v>2928.24</v>
      </c>
    </row>
    <row r="48" spans="1:9" ht="15.75">
      <c r="A48" s="95" t="s">
        <v>16</v>
      </c>
      <c r="B48" s="99" t="s">
        <v>116</v>
      </c>
      <c r="C48" s="138">
        <v>885.6</v>
      </c>
      <c r="D48" s="145">
        <f>1662.85-C48</f>
        <v>777.24999999999989</v>
      </c>
      <c r="E48" s="138">
        <v>198.2</v>
      </c>
      <c r="F48" s="145">
        <f>3756.06-E48-D48-C48</f>
        <v>1895.0100000000002</v>
      </c>
      <c r="G48" s="138">
        <f t="shared" si="0"/>
        <v>3756.0600000000004</v>
      </c>
    </row>
    <row r="49" spans="1:7" ht="15.75">
      <c r="A49" s="95" t="s">
        <v>22</v>
      </c>
      <c r="B49" s="99" t="s">
        <v>51</v>
      </c>
      <c r="C49" s="145">
        <v>520</v>
      </c>
      <c r="D49" s="138">
        <v>769</v>
      </c>
      <c r="E49" s="138">
        <f>2171-D49-C49</f>
        <v>882</v>
      </c>
      <c r="F49" s="138">
        <f>2371-E49-D49-C49</f>
        <v>200</v>
      </c>
      <c r="G49" s="138">
        <f t="shared" si="0"/>
        <v>2371</v>
      </c>
    </row>
    <row r="50" spans="1:7" ht="15.75">
      <c r="A50" s="95" t="s">
        <v>16</v>
      </c>
      <c r="B50" s="99" t="s">
        <v>52</v>
      </c>
      <c r="C50" s="138">
        <v>33222</v>
      </c>
      <c r="D50" s="138">
        <f>80217-C50</f>
        <v>46995</v>
      </c>
      <c r="E50" s="138">
        <f>101671-D50-C50</f>
        <v>21454</v>
      </c>
      <c r="F50" s="138">
        <f>159735-E50-D50-C50</f>
        <v>58064</v>
      </c>
      <c r="G50" s="138">
        <f t="shared" si="0"/>
        <v>159735</v>
      </c>
    </row>
    <row r="51" spans="1:7" ht="15.75">
      <c r="A51" s="95" t="s">
        <v>22</v>
      </c>
      <c r="B51" s="99" t="s">
        <v>53</v>
      </c>
      <c r="C51" s="145">
        <v>4395</v>
      </c>
      <c r="D51" s="138">
        <f>4891-C51</f>
        <v>496</v>
      </c>
      <c r="E51" s="138">
        <f>5586-D51-C51</f>
        <v>695</v>
      </c>
      <c r="F51" s="138">
        <f>6596-E51-D51-C51</f>
        <v>1010</v>
      </c>
      <c r="G51" s="138">
        <f t="shared" si="0"/>
        <v>6596</v>
      </c>
    </row>
    <row r="52" spans="1:7" ht="15.75">
      <c r="A52" s="95" t="s">
        <v>16</v>
      </c>
      <c r="B52" s="99" t="s">
        <v>54</v>
      </c>
      <c r="C52" s="138">
        <v>33052.449999999997</v>
      </c>
      <c r="D52" s="138">
        <f>62223.4-C52</f>
        <v>29170.950000000004</v>
      </c>
      <c r="E52" s="138">
        <f>83874.93-D52-C52</f>
        <v>21651.529999999992</v>
      </c>
      <c r="F52" s="138">
        <f>116565.45-E52-D52-C52</f>
        <v>32690.520000000004</v>
      </c>
      <c r="G52" s="138">
        <f t="shared" si="0"/>
        <v>116565.45</v>
      </c>
    </row>
    <row r="53" spans="1:7" ht="15.75">
      <c r="A53" s="95" t="s">
        <v>16</v>
      </c>
      <c r="B53" s="99" t="s">
        <v>55</v>
      </c>
      <c r="C53" s="138">
        <v>121588</v>
      </c>
      <c r="D53" s="138">
        <f>184440-C53</f>
        <v>62852</v>
      </c>
      <c r="E53" s="138">
        <f>237650-D53-C53</f>
        <v>53210</v>
      </c>
      <c r="F53" s="138">
        <f>309427-E53-D53-C53</f>
        <v>71777</v>
      </c>
      <c r="G53" s="138">
        <f t="shared" si="0"/>
        <v>309427</v>
      </c>
    </row>
    <row r="54" spans="1:7" ht="15.75">
      <c r="A54" s="95" t="s">
        <v>16</v>
      </c>
      <c r="B54" s="99" t="s">
        <v>56</v>
      </c>
      <c r="C54" s="138">
        <v>224134</v>
      </c>
      <c r="D54" s="138">
        <f>310008-C54</f>
        <v>85874</v>
      </c>
      <c r="E54" s="138">
        <f>480929-D54-C54</f>
        <v>170921</v>
      </c>
      <c r="F54" s="138">
        <f>582005-E54-D54-C54</f>
        <v>101076</v>
      </c>
      <c r="G54" s="138">
        <f t="shared" si="0"/>
        <v>582005</v>
      </c>
    </row>
    <row r="55" spans="1:7" ht="15.75">
      <c r="A55" s="101">
        <v>0.05</v>
      </c>
      <c r="B55" s="99" t="s">
        <v>126</v>
      </c>
      <c r="C55" s="138">
        <v>353.8</v>
      </c>
      <c r="D55" s="145">
        <f>1627-C55</f>
        <v>1273.2</v>
      </c>
      <c r="E55" s="145">
        <f>2295-D55-C55</f>
        <v>668</v>
      </c>
      <c r="F55" s="138">
        <f>3546-E55-D55-C55</f>
        <v>1251</v>
      </c>
      <c r="G55" s="138">
        <f t="shared" si="0"/>
        <v>3546</v>
      </c>
    </row>
    <row r="56" spans="1:7" ht="15.75">
      <c r="A56" s="101">
        <v>0.05</v>
      </c>
      <c r="B56" s="99" t="s">
        <v>57</v>
      </c>
      <c r="C56" s="138">
        <v>79756</v>
      </c>
      <c r="D56" s="138">
        <f>161182-C56</f>
        <v>81426</v>
      </c>
      <c r="E56" s="138">
        <f>216810-D56-C56</f>
        <v>55628</v>
      </c>
      <c r="F56" s="138">
        <f>294718-E56-D56-C56</f>
        <v>77908</v>
      </c>
      <c r="G56" s="138">
        <f t="shared" si="0"/>
        <v>294718</v>
      </c>
    </row>
    <row r="57" spans="1:7" ht="15.75">
      <c r="A57" s="95" t="s">
        <v>16</v>
      </c>
      <c r="B57" s="99" t="s">
        <v>58</v>
      </c>
      <c r="C57" s="138">
        <v>258025</v>
      </c>
      <c r="D57" s="138">
        <f>499557-C57</f>
        <v>241532</v>
      </c>
      <c r="E57" s="138">
        <f>703041-D57-C57</f>
        <v>203484</v>
      </c>
      <c r="F57" s="138">
        <f>972755-E57-D57-C57</f>
        <v>269714</v>
      </c>
      <c r="G57" s="138">
        <f t="shared" si="0"/>
        <v>972755</v>
      </c>
    </row>
    <row r="58" spans="1:7" ht="15.75">
      <c r="A58" s="107" t="s">
        <v>16</v>
      </c>
      <c r="B58" s="99" t="s">
        <v>59</v>
      </c>
      <c r="C58" s="138">
        <v>456837</v>
      </c>
      <c r="D58" s="138">
        <f>704484-C58</f>
        <v>247647</v>
      </c>
      <c r="E58" s="138">
        <f>1011865-D58</f>
        <v>764218</v>
      </c>
      <c r="F58" s="145">
        <f>1224744-E64-D64-C64</f>
        <v>917496</v>
      </c>
      <c r="G58" s="138">
        <f t="shared" si="0"/>
        <v>2386198</v>
      </c>
    </row>
    <row r="59" spans="1:7" ht="15.75">
      <c r="A59" s="95" t="s">
        <v>16</v>
      </c>
      <c r="B59" s="99" t="s">
        <v>60</v>
      </c>
      <c r="C59" s="138">
        <v>69373</v>
      </c>
      <c r="D59" s="138">
        <f>118176-C59</f>
        <v>48803</v>
      </c>
      <c r="E59" s="138">
        <f>143994-D59-C59</f>
        <v>25818</v>
      </c>
      <c r="F59" s="138">
        <f>179525-E59-D59-C59</f>
        <v>35531</v>
      </c>
      <c r="G59" s="138">
        <f t="shared" si="0"/>
        <v>179525</v>
      </c>
    </row>
    <row r="60" spans="1:7" ht="15.75">
      <c r="A60" s="101">
        <v>0.05</v>
      </c>
      <c r="B60" s="108" t="s">
        <v>78</v>
      </c>
      <c r="C60" s="138">
        <v>2108373</v>
      </c>
      <c r="D60" s="145">
        <f>3574965-C60</f>
        <v>1466592</v>
      </c>
      <c r="E60" s="138">
        <f>4514657-D60-C60</f>
        <v>939692</v>
      </c>
      <c r="F60" s="138">
        <f>5824085-E60-D60-C60</f>
        <v>1309428</v>
      </c>
      <c r="G60" s="138">
        <f t="shared" si="0"/>
        <v>5824085</v>
      </c>
    </row>
    <row r="61" spans="1:7" ht="15.75">
      <c r="A61" s="101">
        <v>0.02</v>
      </c>
      <c r="B61" s="108" t="s">
        <v>140</v>
      </c>
      <c r="C61" s="138">
        <v>843349</v>
      </c>
      <c r="D61" s="145">
        <f>1429986-C61</f>
        <v>586637</v>
      </c>
      <c r="E61" s="138">
        <f>1805863-D61-C61</f>
        <v>375877</v>
      </c>
      <c r="F61" s="138">
        <f>2329634-E61-D61-C61</f>
        <v>523771</v>
      </c>
      <c r="G61" s="138">
        <f t="shared" si="0"/>
        <v>2329634</v>
      </c>
    </row>
    <row r="62" spans="1:7" ht="15.75">
      <c r="A62" s="101">
        <v>0.05</v>
      </c>
      <c r="B62" s="99" t="s">
        <v>61</v>
      </c>
      <c r="C62" s="138">
        <v>133648.47</v>
      </c>
      <c r="D62" s="138">
        <f>232747.69-C62</f>
        <v>99099.22</v>
      </c>
      <c r="E62" s="138">
        <f>322181.98-D62-C62</f>
        <v>89434.289999999979</v>
      </c>
      <c r="F62" s="138">
        <f>444133.49-E62-D62-C62</f>
        <v>121951.51000000001</v>
      </c>
      <c r="G62" s="138">
        <f t="shared" si="0"/>
        <v>444133.49</v>
      </c>
    </row>
    <row r="63" spans="1:7" ht="15.75">
      <c r="A63" s="95" t="s">
        <v>16</v>
      </c>
      <c r="B63" s="99" t="s">
        <v>62</v>
      </c>
      <c r="C63" s="145">
        <v>71789</v>
      </c>
      <c r="D63" s="145">
        <f>129886-C63</f>
        <v>58097</v>
      </c>
      <c r="E63" s="138">
        <f>174595-D63-C63</f>
        <v>44709</v>
      </c>
      <c r="F63" s="138">
        <f>242610-E63-D63-C63</f>
        <v>68015</v>
      </c>
      <c r="G63" s="138">
        <f t="shared" si="0"/>
        <v>242610</v>
      </c>
    </row>
    <row r="64" spans="1:7" ht="15.75">
      <c r="A64" s="101">
        <v>0.05</v>
      </c>
      <c r="B64" s="99" t="s">
        <v>63</v>
      </c>
      <c r="C64" s="138">
        <v>95529</v>
      </c>
      <c r="D64" s="145">
        <f>200737-C64</f>
        <v>105208</v>
      </c>
      <c r="E64" s="145">
        <f>211719-D64</f>
        <v>106511</v>
      </c>
      <c r="F64" s="145">
        <f>364002-E64-D64-C64</f>
        <v>56754</v>
      </c>
      <c r="G64" s="138">
        <f t="shared" si="0"/>
        <v>364002</v>
      </c>
    </row>
    <row r="65" spans="1:7" ht="15.75">
      <c r="A65" s="95" t="s">
        <v>22</v>
      </c>
      <c r="B65" s="99" t="s">
        <v>127</v>
      </c>
      <c r="C65" s="145">
        <v>481</v>
      </c>
      <c r="D65" s="145">
        <f>683.72-C65</f>
        <v>202.72000000000003</v>
      </c>
      <c r="E65" s="138">
        <f>975-D65-C65</f>
        <v>291.27999999999997</v>
      </c>
      <c r="F65" s="138">
        <f>1896-E65-D65-C65</f>
        <v>921</v>
      </c>
      <c r="G65" s="138">
        <f t="shared" si="0"/>
        <v>1896</v>
      </c>
    </row>
    <row r="66" spans="1:7" ht="15.75">
      <c r="A66" s="101">
        <v>0.05</v>
      </c>
      <c r="B66" s="99" t="s">
        <v>65</v>
      </c>
      <c r="C66" s="138">
        <v>265148</v>
      </c>
      <c r="D66" s="138">
        <f>476736-C66</f>
        <v>211588</v>
      </c>
      <c r="E66" s="138">
        <f>651647-D66-C66</f>
        <v>174911</v>
      </c>
      <c r="F66" s="138">
        <f>906431-E66-D66-C66</f>
        <v>254784</v>
      </c>
      <c r="G66" s="138">
        <f t="shared" si="0"/>
        <v>906431</v>
      </c>
    </row>
    <row r="67" spans="1:7" ht="15.75">
      <c r="A67" s="105" t="s">
        <v>16</v>
      </c>
      <c r="B67" s="99" t="s">
        <v>66</v>
      </c>
      <c r="C67" s="138">
        <v>16621</v>
      </c>
      <c r="D67" s="138">
        <f>31535-C67</f>
        <v>14914</v>
      </c>
      <c r="E67" s="138">
        <f>200594-D67-C67</f>
        <v>169059</v>
      </c>
      <c r="F67" s="138">
        <f>270344-E67-D67-C67</f>
        <v>69750</v>
      </c>
      <c r="G67" s="138">
        <f t="shared" si="0"/>
        <v>270344</v>
      </c>
    </row>
    <row r="68" spans="1:7" ht="15.75">
      <c r="A68" s="95" t="s">
        <v>16</v>
      </c>
      <c r="B68" s="99" t="s">
        <v>67</v>
      </c>
      <c r="C68" s="138">
        <v>49685</v>
      </c>
      <c r="D68" s="138">
        <f>98191-C68</f>
        <v>48506</v>
      </c>
      <c r="E68" s="138">
        <f>145336-D68-C68</f>
        <v>47145</v>
      </c>
      <c r="F68" s="138">
        <f>195641-E68-D68-C68</f>
        <v>50305</v>
      </c>
      <c r="G68" s="138">
        <f t="shared" si="0"/>
        <v>195641</v>
      </c>
    </row>
    <row r="69" spans="1:7" ht="15.75">
      <c r="A69" s="95" t="s">
        <v>16</v>
      </c>
      <c r="B69" s="99" t="s">
        <v>68</v>
      </c>
      <c r="C69" s="145">
        <v>146975</v>
      </c>
      <c r="D69" s="145">
        <f>261748-C69</f>
        <v>114773</v>
      </c>
      <c r="E69" s="145">
        <f>366393-D69-C69</f>
        <v>104645</v>
      </c>
      <c r="F69" s="138">
        <f>511929-E69-D69-C69</f>
        <v>145536</v>
      </c>
      <c r="G69" s="138">
        <f t="shared" si="0"/>
        <v>511929</v>
      </c>
    </row>
    <row r="70" spans="1:7" ht="15.75">
      <c r="A70" s="105" t="s">
        <v>16</v>
      </c>
      <c r="B70" s="99" t="s">
        <v>81</v>
      </c>
      <c r="C70" s="145">
        <v>10203</v>
      </c>
      <c r="D70" s="138">
        <v>12380.41</v>
      </c>
      <c r="E70" s="145">
        <f>34832-D70-C70</f>
        <v>12248.59</v>
      </c>
      <c r="F70" s="138">
        <f>47915-E70-D70-C70</f>
        <v>13083.000000000004</v>
      </c>
      <c r="G70" s="138">
        <f t="shared" si="0"/>
        <v>47915</v>
      </c>
    </row>
    <row r="71" spans="1:7" ht="15.75">
      <c r="A71" s="95" t="s">
        <v>22</v>
      </c>
      <c r="B71" s="99" t="s">
        <v>69</v>
      </c>
      <c r="C71" s="145">
        <v>561.19000000000005</v>
      </c>
      <c r="D71" s="138">
        <f>1144.83-C71</f>
        <v>583.63999999999987</v>
      </c>
      <c r="E71" s="138">
        <f>1451.99-D71-C71</f>
        <v>307.16000000000008</v>
      </c>
      <c r="F71" s="138">
        <f>2021-E71-D71-C71</f>
        <v>569.01</v>
      </c>
      <c r="G71" s="138">
        <f t="shared" si="0"/>
        <v>2021</v>
      </c>
    </row>
    <row r="72" spans="1:7">
      <c r="A72" s="55"/>
      <c r="B72" s="56"/>
      <c r="C72" s="138"/>
      <c r="D72" s="138"/>
      <c r="E72" s="138"/>
      <c r="F72" s="138"/>
      <c r="G72" s="138"/>
    </row>
    <row r="73" spans="1:7" ht="15.75">
      <c r="A73" s="141"/>
      <c r="B73" s="142" t="s">
        <v>70</v>
      </c>
      <c r="C73" s="138">
        <f>SUM(C8:C72)</f>
        <v>11675458.140000001</v>
      </c>
      <c r="D73" s="138">
        <f>SUM(D8:D72)</f>
        <v>10666340.790000003</v>
      </c>
      <c r="E73" s="138">
        <f>SUM(E8:E72)</f>
        <v>6996695.5500000007</v>
      </c>
      <c r="F73" s="138">
        <f>SUM(F8:F72)</f>
        <v>10449280.659999998</v>
      </c>
      <c r="G73" s="138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130</v>
      </c>
    </row>
    <row r="76" spans="1:7">
      <c r="A76" t="s">
        <v>131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8"/>
  <sheetViews>
    <sheetView workbookViewId="0">
      <selection activeCell="I17" sqref="I17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B1" s="2"/>
      <c r="C1" s="2"/>
      <c r="D1" s="147" t="s">
        <v>82</v>
      </c>
      <c r="E1" s="2" t="s">
        <v>83</v>
      </c>
      <c r="F1" s="2"/>
    </row>
    <row r="2" spans="1:9">
      <c r="A2" s="5" t="s">
        <v>132</v>
      </c>
      <c r="B2" s="6"/>
      <c r="C2" s="6"/>
      <c r="D2" s="6"/>
      <c r="E2" s="6" t="s">
        <v>108</v>
      </c>
      <c r="F2" s="6"/>
    </row>
    <row r="3" spans="1:9">
      <c r="A3" s="5" t="s">
        <v>133</v>
      </c>
      <c r="B3" s="6"/>
      <c r="C3" s="6"/>
      <c r="D3" s="6"/>
      <c r="E3" s="6" t="s">
        <v>135</v>
      </c>
      <c r="F3" s="6"/>
    </row>
    <row r="4" spans="1:9">
      <c r="A4" s="8"/>
      <c r="B4" s="9"/>
      <c r="C4" s="9"/>
      <c r="D4" s="9"/>
      <c r="E4" s="68"/>
      <c r="F4" s="68"/>
      <c r="G4" s="68"/>
      <c r="H4" s="68"/>
      <c r="I4" s="68"/>
    </row>
    <row r="5" spans="1:9">
      <c r="A5" s="11"/>
      <c r="B5" s="12"/>
      <c r="C5" s="12"/>
      <c r="D5" s="12"/>
      <c r="E5" s="69" t="s">
        <v>86</v>
      </c>
      <c r="F5" s="69" t="s">
        <v>87</v>
      </c>
      <c r="G5" s="69" t="s">
        <v>88</v>
      </c>
      <c r="H5" s="69" t="s">
        <v>89</v>
      </c>
      <c r="I5" s="130"/>
    </row>
    <row r="6" spans="1:9">
      <c r="A6" s="11"/>
      <c r="B6" s="12"/>
      <c r="C6" s="12"/>
      <c r="D6" s="12"/>
      <c r="E6" s="127" t="s">
        <v>72</v>
      </c>
      <c r="F6" s="69" t="s">
        <v>72</v>
      </c>
      <c r="G6" s="69" t="s">
        <v>72</v>
      </c>
      <c r="H6" s="69" t="s">
        <v>72</v>
      </c>
      <c r="I6" s="69" t="s">
        <v>9</v>
      </c>
    </row>
    <row r="7" spans="1:9" ht="16.5">
      <c r="A7" s="11"/>
      <c r="B7" s="12"/>
      <c r="C7" s="19" t="s">
        <v>90</v>
      </c>
      <c r="D7" s="12"/>
      <c r="E7" s="137" t="s">
        <v>91</v>
      </c>
      <c r="F7" s="137" t="s">
        <v>92</v>
      </c>
      <c r="G7" s="137" t="s">
        <v>93</v>
      </c>
      <c r="H7" s="137" t="s">
        <v>94</v>
      </c>
      <c r="I7" s="137" t="s">
        <v>15</v>
      </c>
    </row>
    <row r="8" spans="1:9">
      <c r="A8" s="1"/>
      <c r="B8" s="2"/>
      <c r="C8" s="2"/>
      <c r="D8" s="2"/>
      <c r="E8" s="128"/>
      <c r="F8" s="128"/>
      <c r="G8" s="128"/>
      <c r="H8" s="128"/>
      <c r="I8" s="129">
        <f t="shared" ref="I8:I29" si="0">SUM(E8:H8)</f>
        <v>0</v>
      </c>
    </row>
    <row r="9" spans="1:9" ht="16.5">
      <c r="A9" s="18" t="s">
        <v>16</v>
      </c>
      <c r="B9" s="19"/>
      <c r="C9" s="19" t="s">
        <v>95</v>
      </c>
      <c r="D9" s="19"/>
      <c r="E9" s="146">
        <v>29433</v>
      </c>
      <c r="F9" s="129">
        <v>9030</v>
      </c>
      <c r="G9" s="146">
        <v>11100</v>
      </c>
      <c r="H9" s="146">
        <v>13675</v>
      </c>
      <c r="I9" s="129">
        <f t="shared" si="0"/>
        <v>63238</v>
      </c>
    </row>
    <row r="10" spans="1:9" ht="16.5">
      <c r="A10" s="135"/>
      <c r="B10" s="22"/>
      <c r="C10" s="22" t="s">
        <v>0</v>
      </c>
      <c r="D10" s="28"/>
      <c r="E10" s="128"/>
      <c r="F10" s="128"/>
      <c r="G10" s="128"/>
      <c r="H10" s="128"/>
      <c r="I10" s="129">
        <f t="shared" si="0"/>
        <v>0</v>
      </c>
    </row>
    <row r="11" spans="1:9" ht="16.5">
      <c r="A11" s="24">
        <v>0.05</v>
      </c>
      <c r="B11" s="19"/>
      <c r="C11" s="19" t="s">
        <v>136</v>
      </c>
      <c r="D11" s="19"/>
      <c r="E11" s="129">
        <v>18126</v>
      </c>
      <c r="F11" s="129">
        <v>16136</v>
      </c>
      <c r="G11" s="146">
        <v>10494</v>
      </c>
      <c r="H11" s="146">
        <v>25532</v>
      </c>
      <c r="I11" s="129">
        <f t="shared" si="0"/>
        <v>70288</v>
      </c>
    </row>
    <row r="12" spans="1:9" ht="16.5">
      <c r="A12" s="135"/>
      <c r="B12" s="22"/>
      <c r="C12" s="22" t="s">
        <v>0</v>
      </c>
      <c r="D12" s="28"/>
      <c r="E12" s="139"/>
      <c r="F12" s="139"/>
      <c r="G12" s="139"/>
      <c r="H12" s="139"/>
      <c r="I12" s="129">
        <f t="shared" si="0"/>
        <v>0</v>
      </c>
    </row>
    <row r="13" spans="1:9" ht="16.5">
      <c r="A13" s="24">
        <v>0.04</v>
      </c>
      <c r="B13" s="19"/>
      <c r="C13" s="19" t="s">
        <v>97</v>
      </c>
      <c r="D13" s="19"/>
      <c r="E13" s="129">
        <v>20183</v>
      </c>
      <c r="F13" s="129">
        <v>12896</v>
      </c>
      <c r="G13" s="129">
        <v>12362</v>
      </c>
      <c r="H13" s="129">
        <v>12213</v>
      </c>
      <c r="I13" s="129">
        <f t="shared" si="0"/>
        <v>57654</v>
      </c>
    </row>
    <row r="14" spans="1:9" ht="16.5">
      <c r="A14" s="135"/>
      <c r="B14" s="22"/>
      <c r="C14" s="22" t="s">
        <v>0</v>
      </c>
      <c r="D14" s="28"/>
      <c r="E14" s="128"/>
      <c r="F14" s="128"/>
      <c r="G14" s="128"/>
      <c r="H14" s="128"/>
      <c r="I14" s="129">
        <f t="shared" si="0"/>
        <v>0</v>
      </c>
    </row>
    <row r="15" spans="1:9" ht="16.5">
      <c r="A15" s="136">
        <v>0.05</v>
      </c>
      <c r="B15" s="42"/>
      <c r="C15" s="46" t="s">
        <v>47</v>
      </c>
      <c r="D15" s="42"/>
      <c r="E15" s="146">
        <v>76481</v>
      </c>
      <c r="F15" s="129">
        <v>48943</v>
      </c>
      <c r="G15" s="129">
        <v>36836</v>
      </c>
      <c r="H15" s="129">
        <v>47951</v>
      </c>
      <c r="I15" s="129">
        <f t="shared" si="0"/>
        <v>210211</v>
      </c>
    </row>
    <row r="16" spans="1:9" ht="16.5">
      <c r="A16" s="135"/>
      <c r="B16" s="22"/>
      <c r="C16" s="22"/>
      <c r="D16" s="28"/>
      <c r="E16" s="128"/>
      <c r="F16" s="128"/>
      <c r="G16" s="128"/>
      <c r="H16" s="128"/>
      <c r="I16" s="129">
        <f t="shared" si="0"/>
        <v>0</v>
      </c>
    </row>
    <row r="17" spans="1:9" ht="16.5">
      <c r="A17" s="136">
        <v>0.05</v>
      </c>
      <c r="B17" s="19"/>
      <c r="C17" s="19" t="s">
        <v>98</v>
      </c>
      <c r="D17" s="131" t="s">
        <v>0</v>
      </c>
      <c r="E17" s="129">
        <v>174</v>
      </c>
      <c r="F17" s="129">
        <v>723</v>
      </c>
      <c r="G17" s="129">
        <v>970</v>
      </c>
      <c r="H17" s="129">
        <v>584</v>
      </c>
      <c r="I17" s="129">
        <f t="shared" si="0"/>
        <v>2451</v>
      </c>
    </row>
    <row r="18" spans="1:9" ht="16.5">
      <c r="A18" s="135"/>
      <c r="B18" s="22"/>
      <c r="C18" s="22" t="s">
        <v>0</v>
      </c>
      <c r="D18" s="28"/>
      <c r="E18" s="128"/>
      <c r="F18" s="128"/>
      <c r="G18" s="128"/>
      <c r="H18" s="128"/>
      <c r="I18" s="129">
        <f t="shared" si="0"/>
        <v>0</v>
      </c>
    </row>
    <row r="19" spans="1:9" ht="16.5">
      <c r="A19" s="24">
        <v>0.03</v>
      </c>
      <c r="B19" s="19"/>
      <c r="C19" s="19" t="s">
        <v>100</v>
      </c>
      <c r="D19" s="19"/>
      <c r="E19" s="146">
        <v>13814</v>
      </c>
      <c r="F19" s="129">
        <v>17486</v>
      </c>
      <c r="G19" s="129">
        <v>22911</v>
      </c>
      <c r="H19" s="129">
        <v>4979</v>
      </c>
      <c r="I19" s="129">
        <f t="shared" si="0"/>
        <v>59190</v>
      </c>
    </row>
    <row r="20" spans="1:9" ht="16.5">
      <c r="A20" s="135"/>
      <c r="B20" s="22"/>
      <c r="C20" s="22"/>
      <c r="D20" s="28"/>
      <c r="E20" s="128"/>
      <c r="F20" s="128"/>
      <c r="G20" s="128"/>
      <c r="H20" s="128"/>
      <c r="I20" s="129">
        <f t="shared" si="0"/>
        <v>0</v>
      </c>
    </row>
    <row r="21" spans="1:9" ht="16.5">
      <c r="A21" s="24">
        <v>0.05</v>
      </c>
      <c r="B21" s="19"/>
      <c r="C21" s="19" t="s">
        <v>101</v>
      </c>
      <c r="D21" s="19"/>
      <c r="E21" s="129">
        <v>6116</v>
      </c>
      <c r="F21" s="129">
        <v>3199</v>
      </c>
      <c r="G21" s="146">
        <v>1788</v>
      </c>
      <c r="H21" s="146">
        <v>4498</v>
      </c>
      <c r="I21" s="129">
        <f t="shared" si="0"/>
        <v>15601</v>
      </c>
    </row>
    <row r="22" spans="1:9" ht="16.5">
      <c r="A22" s="135"/>
      <c r="B22" s="22"/>
      <c r="C22" s="22"/>
      <c r="D22" s="28"/>
      <c r="E22" s="128"/>
      <c r="F22" s="128"/>
      <c r="G22" s="128"/>
      <c r="H22" s="128"/>
      <c r="I22" s="129">
        <f t="shared" si="0"/>
        <v>0</v>
      </c>
    </row>
    <row r="23" spans="1:9" ht="16.5">
      <c r="A23" s="24">
        <v>0.05</v>
      </c>
      <c r="B23" s="19"/>
      <c r="C23" s="19" t="s">
        <v>102</v>
      </c>
      <c r="D23" s="19"/>
      <c r="E23" s="129">
        <v>15582</v>
      </c>
      <c r="F23" s="129">
        <v>4777</v>
      </c>
      <c r="G23" s="129">
        <v>928</v>
      </c>
      <c r="H23" s="146">
        <v>4798</v>
      </c>
      <c r="I23" s="129">
        <f t="shared" si="0"/>
        <v>26085</v>
      </c>
    </row>
    <row r="24" spans="1:9" ht="16.5">
      <c r="A24" s="135"/>
      <c r="B24" s="22"/>
      <c r="C24" s="22" t="s">
        <v>0</v>
      </c>
      <c r="D24" s="28"/>
      <c r="E24" s="128"/>
      <c r="F24" s="128"/>
      <c r="G24" s="128"/>
      <c r="H24" s="128"/>
      <c r="I24" s="129">
        <f t="shared" si="0"/>
        <v>0</v>
      </c>
    </row>
    <row r="25" spans="1:9" ht="16.5">
      <c r="A25" s="24">
        <v>0.04</v>
      </c>
      <c r="B25" s="19"/>
      <c r="C25" s="19" t="s">
        <v>103</v>
      </c>
      <c r="D25" s="19"/>
      <c r="E25" s="129">
        <v>154533</v>
      </c>
      <c r="F25" s="129">
        <v>120645</v>
      </c>
      <c r="G25" s="129">
        <v>53054</v>
      </c>
      <c r="H25" s="129">
        <v>96486</v>
      </c>
      <c r="I25" s="129">
        <f t="shared" si="0"/>
        <v>424718</v>
      </c>
    </row>
    <row r="26" spans="1:9" ht="16.5">
      <c r="A26" s="135"/>
      <c r="B26" s="22"/>
      <c r="C26" s="22" t="s">
        <v>0</v>
      </c>
      <c r="D26" s="28"/>
      <c r="E26" s="128"/>
      <c r="F26" s="128"/>
      <c r="G26" s="128"/>
      <c r="H26" s="128"/>
      <c r="I26" s="129">
        <f t="shared" si="0"/>
        <v>0</v>
      </c>
    </row>
    <row r="27" spans="1:9" ht="16.5">
      <c r="A27" s="18" t="s">
        <v>22</v>
      </c>
      <c r="B27" s="19"/>
      <c r="C27" s="19" t="s">
        <v>104</v>
      </c>
      <c r="D27" s="19"/>
      <c r="E27" s="129">
        <v>1226</v>
      </c>
      <c r="F27" s="129">
        <v>1700</v>
      </c>
      <c r="G27" s="129">
        <v>1122</v>
      </c>
      <c r="H27" s="129">
        <v>1064</v>
      </c>
      <c r="I27" s="129">
        <f t="shared" si="0"/>
        <v>5112</v>
      </c>
    </row>
    <row r="28" spans="1:9" ht="16.5">
      <c r="A28" s="135"/>
      <c r="B28" s="22"/>
      <c r="C28" s="22"/>
      <c r="D28" s="28"/>
      <c r="E28" s="128"/>
      <c r="F28" s="128"/>
      <c r="G28" s="128"/>
      <c r="H28" s="128"/>
      <c r="I28" s="129">
        <f t="shared" si="0"/>
        <v>0</v>
      </c>
    </row>
    <row r="29" spans="1:9" ht="16.5">
      <c r="A29" s="24">
        <v>0.03</v>
      </c>
      <c r="B29" s="19"/>
      <c r="C29" s="19" t="s">
        <v>128</v>
      </c>
      <c r="D29" s="19"/>
      <c r="E29" s="129">
        <v>139</v>
      </c>
      <c r="F29" s="129">
        <v>788</v>
      </c>
      <c r="G29" s="146">
        <v>1520</v>
      </c>
      <c r="H29" s="129">
        <v>206</v>
      </c>
      <c r="I29" s="129">
        <f t="shared" si="0"/>
        <v>2653</v>
      </c>
    </row>
    <row r="30" spans="1:9" ht="16.5">
      <c r="A30" s="135"/>
      <c r="B30" s="22"/>
      <c r="C30" s="22" t="s">
        <v>0</v>
      </c>
      <c r="D30" s="28"/>
      <c r="E30" s="128"/>
      <c r="F30" s="128"/>
      <c r="G30" s="128"/>
      <c r="H30" s="128"/>
      <c r="I30" s="129" t="s">
        <v>0</v>
      </c>
    </row>
    <row r="31" spans="1:9" ht="16.5">
      <c r="A31" s="24">
        <v>0.05</v>
      </c>
      <c r="B31" s="19"/>
      <c r="C31" s="19" t="s">
        <v>65</v>
      </c>
      <c r="D31" s="132"/>
      <c r="E31" s="146">
        <v>95476</v>
      </c>
      <c r="F31" s="129">
        <v>72613</v>
      </c>
      <c r="G31" s="129">
        <v>61587</v>
      </c>
      <c r="H31" s="129">
        <v>66833</v>
      </c>
      <c r="I31" s="129">
        <f>SUM(E31:H31)</f>
        <v>296509</v>
      </c>
    </row>
    <row r="32" spans="1:9" ht="16.5">
      <c r="A32" s="21"/>
      <c r="B32" s="22"/>
      <c r="C32" s="22"/>
      <c r="D32" s="28"/>
      <c r="E32" s="128"/>
      <c r="F32" s="128"/>
      <c r="G32" s="128"/>
      <c r="H32" s="128"/>
      <c r="I32" s="128"/>
    </row>
    <row r="33" spans="1:9" ht="17.25" thickBot="1">
      <c r="A33" s="30"/>
      <c r="B33" s="31"/>
      <c r="C33" s="31" t="s">
        <v>105</v>
      </c>
      <c r="D33" s="31"/>
      <c r="E33" s="129">
        <f>SUM(E9:E32)</f>
        <v>431283</v>
      </c>
      <c r="F33" s="129">
        <f>SUM(F9:F32)</f>
        <v>308936</v>
      </c>
      <c r="G33" s="129">
        <f>SUM(G9:G32)</f>
        <v>214672</v>
      </c>
      <c r="H33" s="129">
        <f>SUM(H9:H32)</f>
        <v>278819</v>
      </c>
      <c r="I33" s="129">
        <f>SUM(I9:I32)</f>
        <v>1233710</v>
      </c>
    </row>
    <row r="34" spans="1:9" ht="15.75" thickTop="1">
      <c r="A34" s="5"/>
      <c r="B34" s="6"/>
      <c r="C34" s="6"/>
      <c r="D34" s="6"/>
      <c r="I34">
        <f>SUM(E33:H33)</f>
        <v>1233710</v>
      </c>
    </row>
    <row r="35" spans="1:9" ht="15.75">
      <c r="A35" s="34" t="s">
        <v>137</v>
      </c>
      <c r="B35" s="35"/>
    </row>
    <row r="36" spans="1:9" ht="15.75">
      <c r="A36" s="36" t="s">
        <v>0</v>
      </c>
      <c r="B36" s="6"/>
      <c r="C36" s="6"/>
      <c r="D36" s="6"/>
    </row>
    <row r="37" spans="1:9">
      <c r="A37" s="134" t="s">
        <v>0</v>
      </c>
      <c r="B37" s="133"/>
      <c r="C37" s="133"/>
      <c r="D37" s="133"/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6">
        <f ca="1">NOW()</f>
        <v>43494.548466203705</v>
      </c>
    </row>
    <row r="2" spans="1:7">
      <c r="A2" s="53" t="s">
        <v>0</v>
      </c>
      <c r="B2" s="78"/>
      <c r="C2" s="78" t="s">
        <v>107</v>
      </c>
      <c r="D2" s="78"/>
      <c r="E2" s="78"/>
      <c r="F2" s="78"/>
      <c r="G2" s="54"/>
    </row>
    <row r="3" spans="1:7">
      <c r="A3" s="53" t="s">
        <v>0</v>
      </c>
      <c r="B3" s="78"/>
      <c r="C3" s="78" t="s">
        <v>134</v>
      </c>
      <c r="D3" s="78"/>
      <c r="E3" s="78"/>
      <c r="F3" s="78"/>
      <c r="G3" s="54"/>
    </row>
    <row r="4" spans="1:7">
      <c r="A4" s="81" t="s">
        <v>2</v>
      </c>
      <c r="B4" s="82" t="s">
        <v>2</v>
      </c>
      <c r="C4" s="82" t="s">
        <v>2</v>
      </c>
      <c r="D4" s="82" t="s">
        <v>2</v>
      </c>
      <c r="E4" s="82" t="s">
        <v>2</v>
      </c>
      <c r="F4" s="82" t="s">
        <v>2</v>
      </c>
      <c r="G4" s="83" t="s">
        <v>2</v>
      </c>
    </row>
    <row r="5" spans="1:7">
      <c r="A5" s="53"/>
      <c r="B5" s="87"/>
      <c r="C5" s="150" t="s">
        <v>3</v>
      </c>
      <c r="D5" s="88" t="s">
        <v>4</v>
      </c>
      <c r="E5" s="88" t="s">
        <v>5</v>
      </c>
      <c r="F5" s="88" t="s">
        <v>6</v>
      </c>
      <c r="G5" s="89"/>
    </row>
    <row r="6" spans="1:7">
      <c r="A6" s="53"/>
      <c r="B6" s="87"/>
      <c r="C6" s="150" t="s">
        <v>7</v>
      </c>
      <c r="D6" s="88" t="s">
        <v>8</v>
      </c>
      <c r="E6" s="88" t="s">
        <v>7</v>
      </c>
      <c r="F6" s="88" t="s">
        <v>72</v>
      </c>
      <c r="G6" s="90" t="s">
        <v>9</v>
      </c>
    </row>
    <row r="7" spans="1:7" ht="18">
      <c r="A7" s="80"/>
      <c r="B7" s="219" t="s">
        <v>10</v>
      </c>
      <c r="C7" s="148" t="s">
        <v>11</v>
      </c>
      <c r="D7" s="92" t="s">
        <v>12</v>
      </c>
      <c r="E7" s="149" t="s">
        <v>13</v>
      </c>
      <c r="F7" s="92" t="s">
        <v>14</v>
      </c>
      <c r="G7" s="94" t="s">
        <v>15</v>
      </c>
    </row>
    <row r="8" spans="1:7" ht="15.75">
      <c r="A8" s="95" t="s">
        <v>16</v>
      </c>
      <c r="B8" s="140" t="s">
        <v>17</v>
      </c>
      <c r="C8" s="138">
        <v>118201</v>
      </c>
      <c r="D8" s="138">
        <v>105685</v>
      </c>
      <c r="E8" s="138">
        <v>101321</v>
      </c>
      <c r="F8" s="138">
        <v>146250</v>
      </c>
      <c r="G8" s="138">
        <f t="shared" ref="G8:G22" si="0">SUM(C8:F8)</f>
        <v>471457</v>
      </c>
    </row>
    <row r="9" spans="1:7" ht="15.75">
      <c r="A9" s="143">
        <v>0.05</v>
      </c>
      <c r="B9" s="103" t="s">
        <v>77</v>
      </c>
      <c r="C9" s="138">
        <v>2988933</v>
      </c>
      <c r="D9" s="138">
        <v>1731340</v>
      </c>
      <c r="E9" s="138">
        <v>1917444</v>
      </c>
      <c r="F9" s="138">
        <v>3003560</v>
      </c>
      <c r="G9" s="138">
        <f t="shared" si="0"/>
        <v>9641277</v>
      </c>
    </row>
    <row r="10" spans="1:7" ht="15.75">
      <c r="A10" s="143">
        <v>0.01</v>
      </c>
      <c r="B10" s="103" t="s">
        <v>141</v>
      </c>
      <c r="C10" s="138">
        <v>596655</v>
      </c>
      <c r="D10" s="138">
        <v>346267</v>
      </c>
      <c r="E10" s="138">
        <v>383488</v>
      </c>
      <c r="F10" s="138">
        <v>600712</v>
      </c>
      <c r="G10" s="138">
        <f t="shared" si="0"/>
        <v>1927122</v>
      </c>
    </row>
    <row r="11" spans="1:7" ht="15.75">
      <c r="A11" s="95" t="s">
        <v>16</v>
      </c>
      <c r="B11" s="99" t="s">
        <v>18</v>
      </c>
      <c r="C11" s="138">
        <v>39303</v>
      </c>
      <c r="D11" s="138">
        <v>15423</v>
      </c>
      <c r="E11" s="138">
        <v>135192</v>
      </c>
      <c r="F11" s="138">
        <v>56635</v>
      </c>
      <c r="G11" s="138">
        <f t="shared" si="0"/>
        <v>246553</v>
      </c>
    </row>
    <row r="12" spans="1:7" ht="15.75">
      <c r="A12" s="95" t="s">
        <v>16</v>
      </c>
      <c r="B12" s="99" t="s">
        <v>19</v>
      </c>
      <c r="C12" s="138">
        <v>88426</v>
      </c>
      <c r="D12" s="138">
        <v>168142</v>
      </c>
      <c r="E12" s="145">
        <v>27832</v>
      </c>
      <c r="F12" s="145">
        <v>105254</v>
      </c>
      <c r="G12" s="138">
        <f t="shared" si="0"/>
        <v>389654</v>
      </c>
    </row>
    <row r="13" spans="1:7" ht="15.75">
      <c r="A13" s="95" t="s">
        <v>16</v>
      </c>
      <c r="B13" s="99" t="s">
        <v>20</v>
      </c>
      <c r="C13" s="138">
        <v>2871.14</v>
      </c>
      <c r="D13" s="138">
        <v>5688</v>
      </c>
      <c r="E13" s="138">
        <v>4950</v>
      </c>
      <c r="F13" s="138">
        <v>16476</v>
      </c>
      <c r="G13" s="138">
        <f t="shared" si="0"/>
        <v>29985.14</v>
      </c>
    </row>
    <row r="14" spans="1:7" ht="15.75">
      <c r="A14" s="101">
        <v>0.04</v>
      </c>
      <c r="B14" s="99" t="s">
        <v>21</v>
      </c>
      <c r="C14" s="138">
        <v>14976</v>
      </c>
      <c r="D14" s="138">
        <v>4747</v>
      </c>
      <c r="E14" s="138">
        <v>8582</v>
      </c>
      <c r="F14" s="145">
        <v>55702</v>
      </c>
      <c r="G14" s="138">
        <f t="shared" si="0"/>
        <v>84007</v>
      </c>
    </row>
    <row r="15" spans="1:7" ht="15.75">
      <c r="A15" s="95" t="s">
        <v>22</v>
      </c>
      <c r="B15" s="99" t="s">
        <v>23</v>
      </c>
      <c r="C15" s="138">
        <v>31407</v>
      </c>
      <c r="D15" s="138">
        <v>26373</v>
      </c>
      <c r="E15" s="138">
        <v>19149</v>
      </c>
      <c r="F15" s="138">
        <v>29321</v>
      </c>
      <c r="G15" s="138">
        <f t="shared" si="0"/>
        <v>106250</v>
      </c>
    </row>
    <row r="16" spans="1:7" ht="15.75">
      <c r="A16" s="101">
        <v>0.03</v>
      </c>
      <c r="B16" s="99" t="s">
        <v>74</v>
      </c>
      <c r="C16" s="138">
        <v>18813</v>
      </c>
      <c r="D16" s="138">
        <v>16552</v>
      </c>
      <c r="E16" s="138">
        <v>8345</v>
      </c>
      <c r="F16" s="138">
        <v>18928</v>
      </c>
      <c r="G16" s="138">
        <f t="shared" si="0"/>
        <v>62638</v>
      </c>
    </row>
    <row r="17" spans="1:8" ht="15.75">
      <c r="A17" s="101">
        <v>0.03</v>
      </c>
      <c r="B17" s="99" t="s">
        <v>75</v>
      </c>
      <c r="C17" s="138">
        <v>1366.19</v>
      </c>
      <c r="D17" s="138">
        <v>891.75</v>
      </c>
      <c r="E17" s="138">
        <v>607.9</v>
      </c>
      <c r="F17" s="145">
        <v>708.06</v>
      </c>
      <c r="G17" s="138">
        <f t="shared" si="0"/>
        <v>3573.9</v>
      </c>
    </row>
    <row r="18" spans="1:8" ht="15.75">
      <c r="A18" s="101">
        <v>0.05</v>
      </c>
      <c r="B18" s="99" t="s">
        <v>24</v>
      </c>
      <c r="C18" s="138">
        <v>470054</v>
      </c>
      <c r="D18" s="138">
        <v>390710</v>
      </c>
      <c r="E18" s="138">
        <v>457100</v>
      </c>
      <c r="F18" s="138">
        <v>545866</v>
      </c>
      <c r="G18" s="138">
        <f t="shared" si="0"/>
        <v>1863730</v>
      </c>
    </row>
    <row r="19" spans="1:8" ht="15.75">
      <c r="A19" s="95" t="s">
        <v>22</v>
      </c>
      <c r="B19" s="99" t="s">
        <v>25</v>
      </c>
      <c r="C19" s="138">
        <v>1296</v>
      </c>
      <c r="D19" s="138">
        <v>1753</v>
      </c>
      <c r="E19" s="138">
        <v>1814</v>
      </c>
      <c r="F19" s="138">
        <v>1406</v>
      </c>
      <c r="G19" s="138">
        <f t="shared" si="0"/>
        <v>6269</v>
      </c>
    </row>
    <row r="20" spans="1:8" ht="15.75">
      <c r="A20" s="101">
        <v>0.04</v>
      </c>
      <c r="B20" s="99" t="s">
        <v>26</v>
      </c>
      <c r="C20" s="138">
        <v>43852</v>
      </c>
      <c r="D20" s="138">
        <v>24937</v>
      </c>
      <c r="E20" s="138">
        <v>4550</v>
      </c>
      <c r="F20" s="138">
        <v>9207</v>
      </c>
      <c r="G20" s="138">
        <f t="shared" si="0"/>
        <v>82546</v>
      </c>
    </row>
    <row r="21" spans="1:8" ht="15.75">
      <c r="A21" s="95" t="s">
        <v>27</v>
      </c>
      <c r="B21" s="99" t="s">
        <v>28</v>
      </c>
      <c r="C21" s="138">
        <v>9907</v>
      </c>
      <c r="D21" s="138">
        <v>4790</v>
      </c>
      <c r="E21" s="138">
        <v>1362</v>
      </c>
      <c r="F21" s="138">
        <v>2891</v>
      </c>
      <c r="G21" s="138">
        <f t="shared" si="0"/>
        <v>18950</v>
      </c>
    </row>
    <row r="22" spans="1:8" ht="15.75">
      <c r="A22" s="101">
        <v>0.05</v>
      </c>
      <c r="B22" s="99" t="s">
        <v>29</v>
      </c>
      <c r="C22" s="138">
        <v>19380</v>
      </c>
      <c r="D22" s="138">
        <v>8193</v>
      </c>
      <c r="E22" s="138">
        <v>7284</v>
      </c>
      <c r="F22" s="138">
        <v>10676</v>
      </c>
      <c r="G22" s="138">
        <f t="shared" si="0"/>
        <v>45533</v>
      </c>
    </row>
    <row r="23" spans="1:8" ht="15.75">
      <c r="A23" s="101">
        <v>0.05</v>
      </c>
      <c r="B23" s="99" t="s">
        <v>76</v>
      </c>
      <c r="C23" s="138">
        <v>43533</v>
      </c>
      <c r="D23" s="138">
        <v>25895</v>
      </c>
      <c r="E23" s="138">
        <v>21461</v>
      </c>
      <c r="F23" s="138">
        <v>29866</v>
      </c>
      <c r="G23" s="138">
        <f>SUM(C23:F23)</f>
        <v>120755</v>
      </c>
    </row>
    <row r="24" spans="1:8" ht="15.75">
      <c r="A24" s="101">
        <v>0.05</v>
      </c>
      <c r="B24" s="99" t="s">
        <v>30</v>
      </c>
      <c r="C24" s="145">
        <f>190125+13585.71</f>
        <v>203710.71</v>
      </c>
      <c r="D24" s="138">
        <f>156001+6566.86</f>
        <v>162567.85999999999</v>
      </c>
      <c r="E24" s="138">
        <v>111170</v>
      </c>
      <c r="F24" s="138">
        <v>173974</v>
      </c>
      <c r="G24" s="138">
        <f t="shared" ref="G24:G71" si="1">SUM(C24:F24)</f>
        <v>651422.56999999995</v>
      </c>
    </row>
    <row r="25" spans="1:8" ht="15.75">
      <c r="A25" s="101">
        <v>0.05</v>
      </c>
      <c r="B25" s="99" t="s">
        <v>31</v>
      </c>
      <c r="C25" s="138">
        <v>717</v>
      </c>
      <c r="D25" s="138">
        <v>612</v>
      </c>
      <c r="E25" s="138">
        <v>664</v>
      </c>
      <c r="F25" s="138">
        <v>915</v>
      </c>
      <c r="G25" s="138">
        <f t="shared" si="1"/>
        <v>2908</v>
      </c>
      <c r="H25" t="s">
        <v>0</v>
      </c>
    </row>
    <row r="26" spans="1:8" ht="15.75">
      <c r="A26" s="104">
        <v>3.5000000000000003E-2</v>
      </c>
      <c r="B26" s="99" t="s">
        <v>73</v>
      </c>
      <c r="C26" s="138">
        <v>1286</v>
      </c>
      <c r="D26" s="138">
        <v>1586</v>
      </c>
      <c r="E26" s="138">
        <v>563</v>
      </c>
      <c r="F26" s="138">
        <v>999</v>
      </c>
      <c r="G26" s="138">
        <f t="shared" si="1"/>
        <v>4434</v>
      </c>
    </row>
    <row r="27" spans="1:8" ht="15.75">
      <c r="A27" s="95" t="s">
        <v>22</v>
      </c>
      <c r="B27" s="99" t="s">
        <v>32</v>
      </c>
      <c r="C27" s="138">
        <v>36918</v>
      </c>
      <c r="D27" s="138">
        <v>5101</v>
      </c>
      <c r="E27" s="138">
        <v>3258</v>
      </c>
      <c r="F27" s="145">
        <v>1833</v>
      </c>
      <c r="G27" s="138">
        <f t="shared" si="1"/>
        <v>47110</v>
      </c>
    </row>
    <row r="28" spans="1:8" ht="15.75">
      <c r="A28" s="105" t="s">
        <v>16</v>
      </c>
      <c r="B28" s="99" t="s">
        <v>79</v>
      </c>
      <c r="C28" s="138">
        <v>94192</v>
      </c>
      <c r="D28" s="138">
        <v>85594</v>
      </c>
      <c r="E28" s="138">
        <v>96936</v>
      </c>
      <c r="F28" s="138">
        <v>98920</v>
      </c>
      <c r="G28" s="138">
        <f t="shared" si="1"/>
        <v>375642</v>
      </c>
    </row>
    <row r="29" spans="1:8" ht="15.75">
      <c r="A29" s="95" t="s">
        <v>22</v>
      </c>
      <c r="B29" s="99" t="s">
        <v>33</v>
      </c>
      <c r="C29" s="138">
        <v>19996</v>
      </c>
      <c r="D29" s="138">
        <v>6630</v>
      </c>
      <c r="E29" s="138">
        <v>4088</v>
      </c>
      <c r="F29" s="138">
        <v>3573</v>
      </c>
      <c r="G29" s="138">
        <f t="shared" si="1"/>
        <v>34287</v>
      </c>
    </row>
    <row r="30" spans="1:8" ht="15.75">
      <c r="A30" s="101">
        <v>0.05</v>
      </c>
      <c r="B30" s="99" t="s">
        <v>71</v>
      </c>
      <c r="C30" s="138">
        <v>8976.52</v>
      </c>
      <c r="D30" s="138">
        <v>6427.63</v>
      </c>
      <c r="E30" s="138">
        <v>19326.13</v>
      </c>
      <c r="F30" s="138">
        <v>8965</v>
      </c>
      <c r="G30" s="138">
        <f t="shared" si="1"/>
        <v>43695.28</v>
      </c>
      <c r="H30" t="s">
        <v>0</v>
      </c>
    </row>
    <row r="31" spans="1:8" ht="15.75">
      <c r="A31" s="101">
        <v>0.05</v>
      </c>
      <c r="B31" s="99" t="s">
        <v>34</v>
      </c>
      <c r="C31" s="138">
        <v>47819</v>
      </c>
      <c r="D31" s="138">
        <v>1901</v>
      </c>
      <c r="E31" s="145">
        <v>2987</v>
      </c>
      <c r="F31" s="145">
        <v>9983</v>
      </c>
      <c r="G31" s="138">
        <f t="shared" si="1"/>
        <v>62690</v>
      </c>
      <c r="H31" t="s">
        <v>0</v>
      </c>
    </row>
    <row r="32" spans="1:8" ht="15.75">
      <c r="A32" s="95" t="s">
        <v>16</v>
      </c>
      <c r="B32" s="99" t="s">
        <v>35</v>
      </c>
      <c r="C32" s="138">
        <v>348230</v>
      </c>
      <c r="D32" s="138">
        <v>262593</v>
      </c>
      <c r="E32" s="138">
        <v>291938</v>
      </c>
      <c r="F32" s="138">
        <v>301362</v>
      </c>
      <c r="G32" s="138">
        <f t="shared" si="1"/>
        <v>1204123</v>
      </c>
    </row>
    <row r="33" spans="1:10" ht="15.75">
      <c r="A33" s="95" t="s">
        <v>16</v>
      </c>
      <c r="B33" s="99" t="s">
        <v>36</v>
      </c>
      <c r="C33" s="138">
        <v>10190</v>
      </c>
      <c r="D33" s="138">
        <v>8927</v>
      </c>
      <c r="E33" s="145">
        <v>4944</v>
      </c>
      <c r="F33" s="138">
        <v>6005</v>
      </c>
      <c r="G33" s="138">
        <f t="shared" si="1"/>
        <v>30066</v>
      </c>
    </row>
    <row r="34" spans="1:10" ht="15.75">
      <c r="A34" s="95" t="s">
        <v>16</v>
      </c>
      <c r="B34" s="99" t="s">
        <v>37</v>
      </c>
      <c r="C34" s="138">
        <v>375801</v>
      </c>
      <c r="D34" s="138">
        <v>306297</v>
      </c>
      <c r="E34" s="138">
        <v>253735</v>
      </c>
      <c r="F34" s="138">
        <v>318094</v>
      </c>
      <c r="G34" s="138">
        <f t="shared" si="1"/>
        <v>1253927</v>
      </c>
      <c r="I34" t="s">
        <v>0</v>
      </c>
    </row>
    <row r="35" spans="1:10" ht="15.75">
      <c r="A35" s="95" t="s">
        <v>16</v>
      </c>
      <c r="B35" s="99" t="s">
        <v>38</v>
      </c>
      <c r="C35" s="138">
        <v>110081</v>
      </c>
      <c r="D35" s="138">
        <v>86541</v>
      </c>
      <c r="E35" s="138">
        <v>63149</v>
      </c>
      <c r="F35" s="138">
        <v>101147</v>
      </c>
      <c r="G35" s="138">
        <f t="shared" si="1"/>
        <v>360918</v>
      </c>
    </row>
    <row r="36" spans="1:10" ht="15.75">
      <c r="A36" s="95" t="s">
        <v>22</v>
      </c>
      <c r="B36" s="99" t="s">
        <v>39</v>
      </c>
      <c r="C36" s="138">
        <v>455</v>
      </c>
      <c r="D36" s="138">
        <v>479</v>
      </c>
      <c r="E36" s="138">
        <v>263</v>
      </c>
      <c r="F36" s="138">
        <v>332.95</v>
      </c>
      <c r="G36" s="138">
        <f t="shared" si="1"/>
        <v>1529.95</v>
      </c>
    </row>
    <row r="37" spans="1:10" ht="15.75">
      <c r="A37" s="101">
        <v>0.05</v>
      </c>
      <c r="B37" s="99" t="s">
        <v>40</v>
      </c>
      <c r="C37" s="138">
        <v>382024</v>
      </c>
      <c r="D37" s="138">
        <v>372714</v>
      </c>
      <c r="E37" s="138">
        <v>339097</v>
      </c>
      <c r="F37" s="138">
        <v>429116</v>
      </c>
      <c r="G37" s="138">
        <f t="shared" si="1"/>
        <v>1522951</v>
      </c>
      <c r="J37" t="s">
        <v>0</v>
      </c>
    </row>
    <row r="38" spans="1:10" ht="15.75">
      <c r="A38" s="101">
        <v>0.03</v>
      </c>
      <c r="B38" s="99" t="s">
        <v>41</v>
      </c>
      <c r="C38" s="138">
        <v>493</v>
      </c>
      <c r="D38" s="138">
        <v>529</v>
      </c>
      <c r="E38" s="138">
        <v>443</v>
      </c>
      <c r="F38" s="138">
        <v>490</v>
      </c>
      <c r="G38" s="138">
        <f t="shared" si="1"/>
        <v>1955</v>
      </c>
    </row>
    <row r="39" spans="1:10" ht="15.75">
      <c r="A39" s="95" t="s">
        <v>16</v>
      </c>
      <c r="B39" s="99" t="s">
        <v>42</v>
      </c>
      <c r="C39" s="145">
        <v>4007</v>
      </c>
      <c r="D39" s="138">
        <v>3564</v>
      </c>
      <c r="E39" s="138">
        <v>2350</v>
      </c>
      <c r="F39" s="145">
        <v>2580</v>
      </c>
      <c r="G39" s="138">
        <f t="shared" si="1"/>
        <v>12501</v>
      </c>
    </row>
    <row r="40" spans="1:10" ht="15.75">
      <c r="A40" s="95" t="s">
        <v>16</v>
      </c>
      <c r="B40" s="99" t="s">
        <v>43</v>
      </c>
      <c r="C40" s="145">
        <v>460652</v>
      </c>
      <c r="D40" s="138">
        <v>463625</v>
      </c>
      <c r="E40" s="138">
        <v>428732</v>
      </c>
      <c r="F40" s="145">
        <v>493168</v>
      </c>
      <c r="G40" s="138">
        <f t="shared" si="1"/>
        <v>1846177</v>
      </c>
    </row>
    <row r="41" spans="1:10" ht="15.75">
      <c r="A41" s="220">
        <v>2.5</v>
      </c>
      <c r="B41" s="99" t="s">
        <v>142</v>
      </c>
      <c r="C41" s="145">
        <v>302119</v>
      </c>
      <c r="D41" s="138">
        <v>290175</v>
      </c>
      <c r="E41" s="138">
        <v>278001</v>
      </c>
      <c r="F41" s="145">
        <v>287665.09000000003</v>
      </c>
      <c r="G41" s="138">
        <f t="shared" si="1"/>
        <v>1157960.0900000001</v>
      </c>
    </row>
    <row r="42" spans="1:10" ht="15.75">
      <c r="A42" s="95" t="s">
        <v>27</v>
      </c>
      <c r="B42" s="99" t="s">
        <v>44</v>
      </c>
      <c r="C42" s="145">
        <v>91375</v>
      </c>
      <c r="D42" s="138">
        <v>53935</v>
      </c>
      <c r="E42" s="138">
        <v>46646</v>
      </c>
      <c r="F42" s="138">
        <v>70141</v>
      </c>
      <c r="G42" s="138">
        <f t="shared" si="1"/>
        <v>262097</v>
      </c>
    </row>
    <row r="43" spans="1:10" ht="15.75">
      <c r="A43" s="95" t="s">
        <v>22</v>
      </c>
      <c r="B43" s="99" t="s">
        <v>45</v>
      </c>
      <c r="C43" s="138">
        <v>3107</v>
      </c>
      <c r="D43" s="138">
        <v>2343</v>
      </c>
      <c r="E43" s="138">
        <v>1349</v>
      </c>
      <c r="F43" s="138">
        <v>2560</v>
      </c>
      <c r="G43" s="138">
        <f t="shared" si="1"/>
        <v>9359</v>
      </c>
    </row>
    <row r="44" spans="1:10" ht="15.75">
      <c r="A44" s="95" t="s">
        <v>16</v>
      </c>
      <c r="B44" s="99" t="s">
        <v>46</v>
      </c>
      <c r="C44" s="138">
        <v>47123</v>
      </c>
      <c r="D44" s="138">
        <v>48651</v>
      </c>
      <c r="E44" s="138">
        <v>69777</v>
      </c>
      <c r="F44" s="138">
        <v>56538</v>
      </c>
      <c r="G44" s="138">
        <f t="shared" si="1"/>
        <v>222089</v>
      </c>
    </row>
    <row r="45" spans="1:10" ht="15.75">
      <c r="A45" s="95" t="s">
        <v>27</v>
      </c>
      <c r="B45" s="99" t="s">
        <v>48</v>
      </c>
      <c r="C45" s="138">
        <v>13984</v>
      </c>
      <c r="D45" s="138">
        <v>17482</v>
      </c>
      <c r="E45" s="138">
        <v>11103</v>
      </c>
      <c r="F45" s="138">
        <v>18968</v>
      </c>
      <c r="G45" s="138">
        <f t="shared" si="1"/>
        <v>61537</v>
      </c>
    </row>
    <row r="46" spans="1:10" ht="15.75">
      <c r="A46" s="105" t="s">
        <v>16</v>
      </c>
      <c r="B46" s="99" t="s">
        <v>49</v>
      </c>
      <c r="C46" s="138">
        <v>16956</v>
      </c>
      <c r="D46" s="138">
        <v>17434</v>
      </c>
      <c r="E46" s="138">
        <v>12231</v>
      </c>
      <c r="F46" s="138">
        <v>18603</v>
      </c>
      <c r="G46" s="138">
        <f t="shared" si="1"/>
        <v>65224</v>
      </c>
      <c r="H46" t="s">
        <v>0</v>
      </c>
    </row>
    <row r="47" spans="1:10" ht="15.75">
      <c r="A47" s="101">
        <v>0.04</v>
      </c>
      <c r="B47" s="99" t="s">
        <v>50</v>
      </c>
      <c r="C47" s="138">
        <v>608.52</v>
      </c>
      <c r="D47" s="138">
        <v>241</v>
      </c>
      <c r="E47" s="138">
        <v>268</v>
      </c>
      <c r="F47" s="138">
        <v>4439</v>
      </c>
      <c r="G47" s="138">
        <f t="shared" si="1"/>
        <v>5556.52</v>
      </c>
    </row>
    <row r="48" spans="1:10" ht="15.75">
      <c r="A48" s="95" t="s">
        <v>16</v>
      </c>
      <c r="B48" s="99" t="s">
        <v>116</v>
      </c>
      <c r="C48" s="145">
        <v>1040.55</v>
      </c>
      <c r="D48" s="138">
        <v>1128</v>
      </c>
      <c r="E48" s="138">
        <v>2760</v>
      </c>
      <c r="F48" s="138">
        <v>966</v>
      </c>
      <c r="G48" s="138">
        <f t="shared" si="1"/>
        <v>5894.55</v>
      </c>
    </row>
    <row r="49" spans="1:8" ht="15.75">
      <c r="A49" s="95" t="s">
        <v>22</v>
      </c>
      <c r="B49" s="99" t="s">
        <v>51</v>
      </c>
      <c r="C49" s="138">
        <v>297</v>
      </c>
      <c r="D49" s="138">
        <v>1830</v>
      </c>
      <c r="E49" s="138">
        <v>457</v>
      </c>
      <c r="F49" s="138">
        <v>341</v>
      </c>
      <c r="G49" s="138">
        <f t="shared" si="1"/>
        <v>2925</v>
      </c>
    </row>
    <row r="50" spans="1:8" ht="15.75">
      <c r="A50" s="95" t="s">
        <v>16</v>
      </c>
      <c r="B50" s="99" t="s">
        <v>52</v>
      </c>
      <c r="C50" s="145">
        <v>64417</v>
      </c>
      <c r="D50" s="138">
        <v>50673</v>
      </c>
      <c r="E50" s="138">
        <v>32546</v>
      </c>
      <c r="F50" s="138">
        <v>48208</v>
      </c>
      <c r="G50" s="138">
        <f t="shared" si="1"/>
        <v>195844</v>
      </c>
    </row>
    <row r="51" spans="1:8" ht="15.75">
      <c r="A51" s="95" t="s">
        <v>22</v>
      </c>
      <c r="B51" s="99" t="s">
        <v>53</v>
      </c>
      <c r="C51" s="138">
        <v>1233</v>
      </c>
      <c r="D51" s="138">
        <v>1706</v>
      </c>
      <c r="E51" s="145">
        <v>3028</v>
      </c>
      <c r="F51" s="145">
        <v>4904</v>
      </c>
      <c r="G51" s="138">
        <f t="shared" si="1"/>
        <v>10871</v>
      </c>
    </row>
    <row r="52" spans="1:8" ht="15.75">
      <c r="A52" s="95" t="s">
        <v>16</v>
      </c>
      <c r="B52" s="99" t="s">
        <v>54</v>
      </c>
      <c r="C52" s="138">
        <v>37240</v>
      </c>
      <c r="D52" s="138">
        <v>33458</v>
      </c>
      <c r="E52" s="138">
        <v>27690</v>
      </c>
      <c r="F52" s="138">
        <v>31173</v>
      </c>
      <c r="G52" s="138">
        <f t="shared" si="1"/>
        <v>129561</v>
      </c>
    </row>
    <row r="53" spans="1:8" ht="15.75">
      <c r="A53" s="95" t="s">
        <v>16</v>
      </c>
      <c r="B53" s="99" t="s">
        <v>55</v>
      </c>
      <c r="C53" s="138">
        <v>137273</v>
      </c>
      <c r="D53" s="138">
        <v>67904</v>
      </c>
      <c r="E53" s="138">
        <v>56826</v>
      </c>
      <c r="F53" s="138">
        <v>72915</v>
      </c>
      <c r="G53" s="138">
        <f t="shared" si="1"/>
        <v>334918</v>
      </c>
    </row>
    <row r="54" spans="1:8" ht="15.75">
      <c r="A54" s="95" t="s">
        <v>16</v>
      </c>
      <c r="B54" s="99" t="s">
        <v>56</v>
      </c>
      <c r="C54" s="138">
        <v>220379</v>
      </c>
      <c r="D54" s="138">
        <v>114460</v>
      </c>
      <c r="E54" s="138">
        <v>171121</v>
      </c>
      <c r="F54" s="138">
        <v>120313</v>
      </c>
      <c r="G54" s="138">
        <f t="shared" si="1"/>
        <v>626273</v>
      </c>
    </row>
    <row r="55" spans="1:8" ht="15.75">
      <c r="A55" s="101">
        <v>0.05</v>
      </c>
      <c r="B55" s="99" t="s">
        <v>126</v>
      </c>
      <c r="C55" s="145">
        <v>1051</v>
      </c>
      <c r="D55" s="138">
        <v>1452</v>
      </c>
      <c r="E55" s="138">
        <v>705</v>
      </c>
      <c r="F55" s="138">
        <v>604</v>
      </c>
      <c r="G55" s="138">
        <f t="shared" si="1"/>
        <v>3812</v>
      </c>
      <c r="H55" t="s">
        <v>0</v>
      </c>
    </row>
    <row r="56" spans="1:8" ht="15.75">
      <c r="A56" s="101">
        <v>0.05</v>
      </c>
      <c r="B56" s="99" t="s">
        <v>57</v>
      </c>
      <c r="C56" s="138">
        <v>83242</v>
      </c>
      <c r="D56" s="138">
        <v>87003</v>
      </c>
      <c r="E56" s="138">
        <v>60639</v>
      </c>
      <c r="F56" s="138">
        <v>81615</v>
      </c>
      <c r="G56" s="138">
        <f t="shared" si="1"/>
        <v>312499</v>
      </c>
    </row>
    <row r="57" spans="1:8" ht="15.75">
      <c r="A57" s="95" t="s">
        <v>16</v>
      </c>
      <c r="B57" s="99" t="s">
        <v>58</v>
      </c>
      <c r="C57" s="138">
        <v>294386</v>
      </c>
      <c r="D57" s="138">
        <v>258389</v>
      </c>
      <c r="E57" s="138">
        <v>239996</v>
      </c>
      <c r="F57" s="138">
        <v>267876</v>
      </c>
      <c r="G57" s="138">
        <f t="shared" si="1"/>
        <v>1060647</v>
      </c>
    </row>
    <row r="58" spans="1:8" ht="15.75">
      <c r="A58" s="107" t="s">
        <v>16</v>
      </c>
      <c r="B58" s="99" t="s">
        <v>59</v>
      </c>
      <c r="C58" s="145">
        <v>422933</v>
      </c>
      <c r="D58" s="138">
        <v>231053</v>
      </c>
      <c r="E58" s="138">
        <v>308301</v>
      </c>
      <c r="F58" s="138">
        <v>236047</v>
      </c>
      <c r="G58" s="138">
        <f t="shared" si="1"/>
        <v>1198334</v>
      </c>
    </row>
    <row r="59" spans="1:8" ht="15.75">
      <c r="A59" s="95" t="s">
        <v>16</v>
      </c>
      <c r="B59" s="99" t="s">
        <v>60</v>
      </c>
      <c r="C59" s="138">
        <v>68674</v>
      </c>
      <c r="D59" s="138">
        <v>35747</v>
      </c>
      <c r="E59" s="138">
        <v>31512</v>
      </c>
      <c r="F59" s="138">
        <v>33798</v>
      </c>
      <c r="G59" s="138">
        <f t="shared" si="1"/>
        <v>169731</v>
      </c>
    </row>
    <row r="60" spans="1:8" ht="15.75">
      <c r="A60" s="101">
        <v>0.05</v>
      </c>
      <c r="B60" s="108" t="s">
        <v>78</v>
      </c>
      <c r="C60" s="138">
        <v>1901413</v>
      </c>
      <c r="D60" s="138">
        <v>1445941</v>
      </c>
      <c r="E60" s="138">
        <v>1205153</v>
      </c>
      <c r="F60" s="138">
        <v>1414806</v>
      </c>
      <c r="G60" s="138">
        <f t="shared" si="1"/>
        <v>5967313</v>
      </c>
    </row>
    <row r="61" spans="1:8" ht="15.75">
      <c r="A61" s="101">
        <v>0.02</v>
      </c>
      <c r="B61" s="108" t="s">
        <v>140</v>
      </c>
      <c r="C61" s="138">
        <v>760565</v>
      </c>
      <c r="D61" s="138">
        <v>578377</v>
      </c>
      <c r="E61" s="138">
        <v>482061</v>
      </c>
      <c r="F61" s="138">
        <v>565922</v>
      </c>
      <c r="G61" s="138">
        <f t="shared" si="1"/>
        <v>2386925</v>
      </c>
    </row>
    <row r="62" spans="1:8" ht="15.75">
      <c r="A62" s="101">
        <v>0.05</v>
      </c>
      <c r="B62" s="99" t="s">
        <v>61</v>
      </c>
      <c r="C62" s="138">
        <v>138642</v>
      </c>
      <c r="D62" s="138">
        <v>112539</v>
      </c>
      <c r="E62" s="138">
        <v>74461</v>
      </c>
      <c r="F62" s="145">
        <v>140806</v>
      </c>
      <c r="G62" s="138">
        <f t="shared" si="1"/>
        <v>466448</v>
      </c>
      <c r="H62" t="s">
        <v>0</v>
      </c>
    </row>
    <row r="63" spans="1:8" ht="15.75">
      <c r="A63" s="95" t="s">
        <v>16</v>
      </c>
      <c r="B63" s="99" t="s">
        <v>62</v>
      </c>
      <c r="C63" s="138">
        <v>77020</v>
      </c>
      <c r="D63" s="138">
        <v>54266</v>
      </c>
      <c r="E63" s="145">
        <v>49558</v>
      </c>
      <c r="F63" s="145">
        <v>62808</v>
      </c>
      <c r="G63" s="138">
        <f t="shared" si="1"/>
        <v>243652</v>
      </c>
    </row>
    <row r="64" spans="1:8" ht="15.75">
      <c r="A64" s="101">
        <v>0.05</v>
      </c>
      <c r="B64" s="99" t="s">
        <v>63</v>
      </c>
      <c r="C64" s="138">
        <v>93060</v>
      </c>
      <c r="D64" s="138">
        <v>100052</v>
      </c>
      <c r="E64" s="145">
        <v>88429</v>
      </c>
      <c r="F64" s="138">
        <v>96743</v>
      </c>
      <c r="G64" s="138">
        <f t="shared" si="1"/>
        <v>378284</v>
      </c>
    </row>
    <row r="65" spans="1:7" ht="15.75">
      <c r="A65" s="95" t="s">
        <v>22</v>
      </c>
      <c r="B65" s="99" t="s">
        <v>127</v>
      </c>
      <c r="C65" s="138">
        <v>1424</v>
      </c>
      <c r="D65" s="138">
        <v>895</v>
      </c>
      <c r="E65" s="138">
        <v>844</v>
      </c>
      <c r="F65" s="138">
        <v>996</v>
      </c>
      <c r="G65" s="138">
        <f t="shared" si="1"/>
        <v>4159</v>
      </c>
    </row>
    <row r="66" spans="1:7" ht="15.75">
      <c r="A66" s="101">
        <v>0.05</v>
      </c>
      <c r="B66" s="99" t="s">
        <v>65</v>
      </c>
      <c r="C66" s="138">
        <v>329639</v>
      </c>
      <c r="D66" s="138">
        <v>248605</v>
      </c>
      <c r="E66" s="138">
        <v>194423</v>
      </c>
      <c r="F66" s="138">
        <v>237203</v>
      </c>
      <c r="G66" s="138">
        <f t="shared" si="1"/>
        <v>1009870</v>
      </c>
    </row>
    <row r="67" spans="1:7" ht="15.75">
      <c r="A67" s="105" t="s">
        <v>16</v>
      </c>
      <c r="B67" s="99" t="s">
        <v>66</v>
      </c>
      <c r="C67" s="138">
        <v>17633</v>
      </c>
      <c r="D67" s="138">
        <v>28986</v>
      </c>
      <c r="E67" s="138">
        <v>181018</v>
      </c>
      <c r="F67" s="138">
        <v>74222.28</v>
      </c>
      <c r="G67" s="138">
        <f t="shared" si="1"/>
        <v>301859.28000000003</v>
      </c>
    </row>
    <row r="68" spans="1:7" ht="15.75">
      <c r="A68" s="95" t="s">
        <v>16</v>
      </c>
      <c r="B68" s="99" t="s">
        <v>67</v>
      </c>
      <c r="C68" s="138">
        <v>49530</v>
      </c>
      <c r="D68" s="138">
        <v>47887</v>
      </c>
      <c r="E68" s="138">
        <v>57451</v>
      </c>
      <c r="F68" s="138">
        <v>62697</v>
      </c>
      <c r="G68" s="138">
        <f t="shared" si="1"/>
        <v>217565</v>
      </c>
    </row>
    <row r="69" spans="1:7" ht="15.75">
      <c r="A69" s="95" t="s">
        <v>16</v>
      </c>
      <c r="B69" s="99" t="s">
        <v>68</v>
      </c>
      <c r="C69" s="138">
        <v>160743</v>
      </c>
      <c r="D69" s="138">
        <v>115028</v>
      </c>
      <c r="E69" s="138">
        <v>118460</v>
      </c>
      <c r="F69" s="138">
        <v>165541</v>
      </c>
      <c r="G69" s="138">
        <f t="shared" si="1"/>
        <v>559772</v>
      </c>
    </row>
    <row r="70" spans="1:7" ht="15.75">
      <c r="A70" s="105" t="s">
        <v>16</v>
      </c>
      <c r="B70" s="99" t="s">
        <v>81</v>
      </c>
      <c r="C70" s="138">
        <v>39174</v>
      </c>
      <c r="D70" s="138">
        <v>12864</v>
      </c>
      <c r="E70" s="145">
        <v>11551</v>
      </c>
      <c r="F70" s="138">
        <v>8007</v>
      </c>
      <c r="G70" s="138">
        <f t="shared" si="1"/>
        <v>71596</v>
      </c>
    </row>
    <row r="71" spans="1:7" ht="15.75">
      <c r="A71" s="95" t="s">
        <v>22</v>
      </c>
      <c r="B71" s="99" t="s">
        <v>69</v>
      </c>
      <c r="C71" s="138">
        <v>460</v>
      </c>
      <c r="D71" s="138">
        <v>401</v>
      </c>
      <c r="E71" s="138">
        <v>431</v>
      </c>
      <c r="F71" s="138">
        <v>761</v>
      </c>
      <c r="G71" s="138">
        <f t="shared" si="1"/>
        <v>2053</v>
      </c>
    </row>
    <row r="72" spans="1:7">
      <c r="A72" s="55"/>
      <c r="B72" s="56"/>
      <c r="C72" s="138"/>
      <c r="D72" s="138"/>
      <c r="E72" s="138"/>
      <c r="F72" s="138"/>
      <c r="G72" s="138"/>
    </row>
    <row r="73" spans="1:7" ht="15.75">
      <c r="A73" s="141"/>
      <c r="B73" s="142" t="s">
        <v>70</v>
      </c>
      <c r="C73" s="138">
        <f>SUM(C8:C72)</f>
        <v>11971262.629999999</v>
      </c>
      <c r="D73" s="138">
        <f>SUM(D8:D72)</f>
        <v>8713980.2400000002</v>
      </c>
      <c r="E73" s="138">
        <f>SUM(E8:E72)</f>
        <v>8542921.0299999993</v>
      </c>
      <c r="F73" s="138">
        <f>SUM(F8:F72)</f>
        <v>10773101.380000001</v>
      </c>
      <c r="G73" s="138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51" t="s">
        <v>138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activeCell="G42" sqref="G42"/>
    </sheetView>
  </sheetViews>
  <sheetFormatPr defaultRowHeight="15"/>
  <cols>
    <col min="1" max="1" width="2.88671875" style="151" customWidth="1"/>
    <col min="2" max="2" width="17.21875" style="151" customWidth="1"/>
    <col min="3" max="3" width="6.77734375" style="151" customWidth="1"/>
    <col min="4" max="4" width="8.88671875" style="151"/>
    <col min="5" max="5" width="11.21875" style="151" customWidth="1"/>
    <col min="6" max="9" width="10.6640625" style="151" customWidth="1"/>
    <col min="10" max="10" width="12.21875" style="151" customWidth="1"/>
    <col min="11" max="11" width="8.77734375" style="151" hidden="1" customWidth="1"/>
    <col min="12" max="12" width="8.88671875" style="151"/>
    <col min="13" max="13" width="9.44140625" style="151" bestFit="1" customWidth="1"/>
    <col min="14" max="16384" width="8.88671875" style="151"/>
  </cols>
  <sheetData>
    <row r="1" spans="1:10">
      <c r="B1" s="240"/>
      <c r="H1" s="240"/>
      <c r="I1" s="240"/>
      <c r="J1" s="240"/>
    </row>
    <row r="2" spans="1:10" ht="15.75">
      <c r="A2" s="241"/>
      <c r="C2" s="242"/>
      <c r="D2" s="242"/>
      <c r="E2" s="243" t="s">
        <v>82</v>
      </c>
      <c r="F2" s="244" t="s">
        <v>83</v>
      </c>
      <c r="G2" s="242"/>
      <c r="J2" s="245"/>
    </row>
    <row r="3" spans="1:10" ht="18" customHeight="1">
      <c r="B3" s="246"/>
      <c r="C3" s="247"/>
      <c r="D3" s="248" t="s">
        <v>149</v>
      </c>
      <c r="G3" s="247"/>
      <c r="J3" s="241"/>
    </row>
    <row r="4" spans="1:10" ht="15.75">
      <c r="B4" s="249" t="s">
        <v>133</v>
      </c>
      <c r="C4" s="247"/>
      <c r="D4" s="247"/>
      <c r="E4" s="247"/>
      <c r="F4" s="250" t="s">
        <v>151</v>
      </c>
      <c r="G4" s="247"/>
      <c r="J4" s="251"/>
    </row>
    <row r="5" spans="1:10" ht="10.15" customHeight="1">
      <c r="B5" s="252"/>
      <c r="C5" s="253"/>
      <c r="D5" s="253"/>
      <c r="E5" s="253"/>
      <c r="F5" s="254"/>
      <c r="G5" s="254"/>
      <c r="H5" s="254"/>
      <c r="I5" s="254"/>
      <c r="J5" s="254"/>
    </row>
    <row r="6" spans="1:10">
      <c r="B6" s="255"/>
      <c r="C6" s="256"/>
      <c r="D6" s="256"/>
      <c r="E6" s="256"/>
      <c r="F6" s="257" t="s">
        <v>86</v>
      </c>
      <c r="G6" s="257" t="s">
        <v>87</v>
      </c>
      <c r="H6" s="257" t="s">
        <v>88</v>
      </c>
      <c r="I6" s="257" t="s">
        <v>89</v>
      </c>
      <c r="J6" s="258"/>
    </row>
    <row r="7" spans="1:10">
      <c r="B7" s="255"/>
      <c r="C7" s="256"/>
      <c r="D7" s="256"/>
      <c r="E7" s="256"/>
      <c r="F7" s="257" t="s">
        <v>72</v>
      </c>
      <c r="G7" s="257" t="s">
        <v>72</v>
      </c>
      <c r="H7" s="257" t="s">
        <v>72</v>
      </c>
      <c r="I7" s="257" t="s">
        <v>72</v>
      </c>
      <c r="J7" s="257" t="s">
        <v>9</v>
      </c>
    </row>
    <row r="8" spans="1:10" ht="26.25">
      <c r="B8" s="259" t="s">
        <v>148</v>
      </c>
      <c r="C8" s="256"/>
      <c r="D8" s="260" t="s">
        <v>90</v>
      </c>
      <c r="E8" s="256"/>
      <c r="F8" s="261" t="s">
        <v>91</v>
      </c>
      <c r="G8" s="261" t="s">
        <v>92</v>
      </c>
      <c r="H8" s="261" t="s">
        <v>93</v>
      </c>
      <c r="I8" s="261" t="s">
        <v>94</v>
      </c>
      <c r="J8" s="261" t="s">
        <v>15</v>
      </c>
    </row>
    <row r="9" spans="1:10" ht="10.15" customHeight="1">
      <c r="B9" s="262"/>
      <c r="C9" s="242"/>
      <c r="D9" s="242"/>
      <c r="E9" s="242"/>
      <c r="F9" s="263"/>
      <c r="G9" s="263"/>
      <c r="H9" s="263"/>
      <c r="I9" s="263"/>
      <c r="J9" s="237"/>
    </row>
    <row r="10" spans="1:10" ht="16.5">
      <c r="B10" s="280" t="s">
        <v>16</v>
      </c>
      <c r="C10" s="222"/>
      <c r="D10" s="222" t="s">
        <v>95</v>
      </c>
      <c r="E10" s="222"/>
      <c r="F10" s="146">
        <v>27318</v>
      </c>
      <c r="G10" s="146">
        <f>42682-F10</f>
        <v>15364</v>
      </c>
      <c r="H10" s="146">
        <f>55089-G10-F10</f>
        <v>12407</v>
      </c>
      <c r="I10" s="146">
        <f>80700-H10-G10-F10</f>
        <v>25611</v>
      </c>
      <c r="J10" s="146">
        <f>F10+G10+H10+I10</f>
        <v>80700</v>
      </c>
    </row>
    <row r="11" spans="1:10" ht="10.15" customHeight="1">
      <c r="B11" s="264"/>
      <c r="C11" s="265"/>
      <c r="D11" s="265" t="s">
        <v>0</v>
      </c>
      <c r="E11" s="120"/>
      <c r="F11" s="263"/>
      <c r="G11" s="263"/>
      <c r="H11" s="263"/>
      <c r="I11" s="263"/>
      <c r="J11" s="237"/>
    </row>
    <row r="12" spans="1:10" ht="16.5">
      <c r="B12" s="266">
        <v>0.05</v>
      </c>
      <c r="C12" s="222"/>
      <c r="D12" s="222" t="s">
        <v>96</v>
      </c>
      <c r="E12" s="222"/>
      <c r="F12" s="146">
        <v>17850</v>
      </c>
      <c r="G12" s="146">
        <f>36460-17850</f>
        <v>18610</v>
      </c>
      <c r="H12" s="146">
        <f>85414-17850-18610-26191</f>
        <v>22763</v>
      </c>
      <c r="I12" s="146">
        <v>26191</v>
      </c>
      <c r="J12" s="146">
        <f>F12+G12+H12+I12</f>
        <v>85414</v>
      </c>
    </row>
    <row r="13" spans="1:10" ht="10.15" customHeight="1">
      <c r="B13" s="264"/>
      <c r="C13" s="265"/>
      <c r="D13" s="265" t="s">
        <v>0</v>
      </c>
      <c r="E13" s="120"/>
      <c r="F13" s="237"/>
      <c r="G13" s="237"/>
      <c r="H13" s="237"/>
      <c r="I13" s="237"/>
      <c r="J13" s="237"/>
    </row>
    <row r="14" spans="1:10" ht="16.5">
      <c r="B14" s="266">
        <v>0.04</v>
      </c>
      <c r="C14" s="222"/>
      <c r="D14" s="222" t="s">
        <v>97</v>
      </c>
      <c r="E14" s="222"/>
      <c r="F14" s="146">
        <v>24309</v>
      </c>
      <c r="G14" s="146">
        <f>37566-F14</f>
        <v>13257</v>
      </c>
      <c r="H14" s="146">
        <f>45450-G14-F14</f>
        <v>7884</v>
      </c>
      <c r="I14" s="146">
        <f>61509-H14-G14-F14</f>
        <v>16059</v>
      </c>
      <c r="J14" s="146">
        <f>F14+G14+H14+I14</f>
        <v>61509</v>
      </c>
    </row>
    <row r="15" spans="1:10" ht="10.15" customHeight="1">
      <c r="B15" s="264"/>
      <c r="C15" s="265"/>
      <c r="D15" s="265" t="s">
        <v>0</v>
      </c>
      <c r="E15" s="120"/>
      <c r="F15" s="263"/>
      <c r="G15" s="263"/>
      <c r="H15" s="263"/>
      <c r="I15" s="263"/>
      <c r="J15" s="237"/>
    </row>
    <row r="16" spans="1:10" ht="16.5">
      <c r="B16" s="281">
        <v>0.05</v>
      </c>
      <c r="C16" s="267"/>
      <c r="D16" s="268" t="s">
        <v>47</v>
      </c>
      <c r="E16" s="267"/>
      <c r="F16" s="146">
        <v>89503</v>
      </c>
      <c r="G16" s="146">
        <f>159381-89503</f>
        <v>69878</v>
      </c>
      <c r="H16" s="146">
        <f>214710-89503-69878</f>
        <v>55329</v>
      </c>
      <c r="I16" s="146">
        <f>279896-89503-69878-55329</f>
        <v>65186</v>
      </c>
      <c r="J16" s="146">
        <f>F16+G16+H16+I16</f>
        <v>279896</v>
      </c>
    </row>
    <row r="17" spans="2:16" ht="10.15" customHeight="1">
      <c r="B17" s="264"/>
      <c r="C17" s="265"/>
      <c r="D17" s="265"/>
      <c r="E17" s="120"/>
      <c r="F17" s="263"/>
      <c r="G17" s="263"/>
      <c r="H17" s="263"/>
      <c r="I17" s="263"/>
      <c r="J17" s="237"/>
    </row>
    <row r="18" spans="2:16" ht="16.5">
      <c r="B18" s="281">
        <v>0.05</v>
      </c>
      <c r="C18" s="222"/>
      <c r="D18" s="222" t="s">
        <v>98</v>
      </c>
      <c r="E18" s="269" t="s">
        <v>0</v>
      </c>
      <c r="F18" s="146">
        <v>230</v>
      </c>
      <c r="G18" s="146">
        <f>957-F18</f>
        <v>727</v>
      </c>
      <c r="H18" s="146">
        <f>2311-G18-F18</f>
        <v>1354</v>
      </c>
      <c r="I18" s="146">
        <f>2964-H18-G18-F18</f>
        <v>653</v>
      </c>
      <c r="J18" s="146">
        <f>F18+G18+H18+I18</f>
        <v>2964</v>
      </c>
    </row>
    <row r="19" spans="2:16" ht="10.15" customHeight="1">
      <c r="B19" s="264"/>
      <c r="C19" s="265"/>
      <c r="D19" s="265" t="s">
        <v>0</v>
      </c>
      <c r="E19" s="120"/>
      <c r="F19" s="263"/>
      <c r="G19" s="263"/>
      <c r="H19" s="263"/>
      <c r="I19" s="263"/>
      <c r="J19" s="237"/>
    </row>
    <row r="20" spans="2:16" ht="16.5">
      <c r="B20" s="266" t="s">
        <v>153</v>
      </c>
      <c r="C20" s="222"/>
      <c r="D20" s="222" t="s">
        <v>100</v>
      </c>
      <c r="E20" s="222"/>
      <c r="F20" s="146">
        <f>25846</f>
        <v>25846</v>
      </c>
      <c r="G20" s="146">
        <f>53917-F20</f>
        <v>28071</v>
      </c>
      <c r="H20" s="146">
        <f>59074-G20-F20</f>
        <v>5157</v>
      </c>
      <c r="I20" s="146">
        <f>72436-H20-G20-F20</f>
        <v>13362</v>
      </c>
      <c r="J20" s="146">
        <f>F20+G20+H20+I20</f>
        <v>72436</v>
      </c>
      <c r="K20" s="278"/>
    </row>
    <row r="21" spans="2:16" ht="10.15" customHeight="1">
      <c r="B21" s="264"/>
      <c r="C21" s="265"/>
      <c r="D21" s="265"/>
      <c r="E21" s="120"/>
      <c r="F21" s="263"/>
      <c r="G21" s="263"/>
      <c r="H21" s="263"/>
      <c r="I21" s="263"/>
      <c r="J21" s="237"/>
    </row>
    <row r="22" spans="2:16" ht="16.5">
      <c r="B22" s="266">
        <v>0.05</v>
      </c>
      <c r="C22" s="222"/>
      <c r="D22" s="222" t="s">
        <v>101</v>
      </c>
      <c r="E22" s="222"/>
      <c r="F22" s="146">
        <v>4859</v>
      </c>
      <c r="G22" s="146">
        <f>9341-F22</f>
        <v>4482</v>
      </c>
      <c r="H22" s="146">
        <f>12662-4482-4859</f>
        <v>3321</v>
      </c>
      <c r="I22" s="146">
        <f>14783-4859-4482-3321</f>
        <v>2121</v>
      </c>
      <c r="J22" s="146">
        <f>F22+G22+H22+I22</f>
        <v>14783</v>
      </c>
      <c r="K22" s="279"/>
      <c r="L22" s="284"/>
      <c r="M22" s="284"/>
      <c r="N22" s="284"/>
      <c r="O22" s="284"/>
      <c r="P22" s="284"/>
    </row>
    <row r="23" spans="2:16" ht="10.15" customHeight="1">
      <c r="B23" s="264"/>
      <c r="C23" s="265"/>
      <c r="D23" s="265"/>
      <c r="E23" s="120"/>
      <c r="F23" s="263"/>
      <c r="G23" s="263"/>
      <c r="H23" s="263"/>
      <c r="I23" s="263"/>
      <c r="J23" s="237"/>
    </row>
    <row r="24" spans="2:16" ht="16.5">
      <c r="B24" s="266">
        <v>0.05</v>
      </c>
      <c r="C24" s="222"/>
      <c r="D24" s="222" t="s">
        <v>102</v>
      </c>
      <c r="E24" s="222"/>
      <c r="F24" s="146">
        <f>16668</f>
        <v>16668</v>
      </c>
      <c r="G24" s="146">
        <f>24009-16668</f>
        <v>7341</v>
      </c>
      <c r="H24" s="146">
        <f>25129-7341-16668</f>
        <v>1120</v>
      </c>
      <c r="I24" s="146">
        <f>31734-16668-7341-1120</f>
        <v>6605</v>
      </c>
      <c r="J24" s="146">
        <f>F24+G24+H24+I24</f>
        <v>31734</v>
      </c>
    </row>
    <row r="25" spans="2:16" ht="10.15" customHeight="1">
      <c r="B25" s="264"/>
      <c r="C25" s="265"/>
      <c r="D25" s="265" t="s">
        <v>0</v>
      </c>
      <c r="E25" s="120"/>
      <c r="F25" s="263"/>
      <c r="G25" s="263"/>
      <c r="H25" s="263"/>
      <c r="I25" s="263"/>
      <c r="J25" s="237"/>
    </row>
    <row r="26" spans="2:16" ht="16.5">
      <c r="B26" s="266">
        <v>0.04</v>
      </c>
      <c r="C26" s="222"/>
      <c r="D26" s="222" t="s">
        <v>103</v>
      </c>
      <c r="E26" s="222"/>
      <c r="F26" s="146">
        <f>135533</f>
        <v>135533</v>
      </c>
      <c r="G26" s="146">
        <f>250976-135533</f>
        <v>115443</v>
      </c>
      <c r="H26" s="146">
        <f>309868-135533-115443</f>
        <v>58892</v>
      </c>
      <c r="I26" s="146">
        <f>411873-135533-115443-58892</f>
        <v>102005</v>
      </c>
      <c r="J26" s="146">
        <f>F26+G26+H26+I26</f>
        <v>411873</v>
      </c>
    </row>
    <row r="27" spans="2:16" ht="10.15" customHeight="1">
      <c r="B27" s="264"/>
      <c r="C27" s="265"/>
      <c r="D27" s="265" t="s">
        <v>0</v>
      </c>
      <c r="E27" s="120"/>
      <c r="F27" s="263"/>
      <c r="G27" s="263"/>
      <c r="H27" s="263"/>
      <c r="I27" s="263"/>
      <c r="J27" s="237"/>
    </row>
    <row r="28" spans="2:16" ht="16.5">
      <c r="B28" s="280" t="s">
        <v>22</v>
      </c>
      <c r="C28" s="222"/>
      <c r="D28" s="222" t="s">
        <v>104</v>
      </c>
      <c r="E28" s="222"/>
      <c r="F28" s="146">
        <v>1306</v>
      </c>
      <c r="G28" s="146">
        <v>1802</v>
      </c>
      <c r="H28" s="146">
        <f>4538-G28-F28</f>
        <v>1430</v>
      </c>
      <c r="I28" s="146">
        <f>6102-H28-G28-F28</f>
        <v>1564</v>
      </c>
      <c r="J28" s="146">
        <f>F28+G28+H28+I28</f>
        <v>6102</v>
      </c>
    </row>
    <row r="29" spans="2:16" ht="10.15" customHeight="1">
      <c r="B29" s="264"/>
      <c r="C29" s="265"/>
      <c r="D29" s="265"/>
      <c r="E29" s="120"/>
      <c r="F29" s="263"/>
      <c r="G29" s="263"/>
      <c r="H29" s="263"/>
      <c r="I29" s="263"/>
      <c r="J29" s="237"/>
    </row>
    <row r="30" spans="2:16" ht="16.5">
      <c r="B30" s="266">
        <v>0.03</v>
      </c>
      <c r="C30" s="222"/>
      <c r="D30" s="222" t="s">
        <v>63</v>
      </c>
      <c r="E30" s="222"/>
      <c r="F30" s="146">
        <f>227</f>
        <v>227</v>
      </c>
      <c r="G30" s="146">
        <f>1023-F30</f>
        <v>796</v>
      </c>
      <c r="H30" s="146">
        <f>2146-G30-F30</f>
        <v>1123</v>
      </c>
      <c r="I30" s="146">
        <f>3026-H30-G30-F30</f>
        <v>880</v>
      </c>
      <c r="J30" s="146">
        <f>F30+G30+H30+I30</f>
        <v>3026</v>
      </c>
    </row>
    <row r="31" spans="2:16" ht="10.15" customHeight="1">
      <c r="B31" s="264"/>
      <c r="C31" s="265"/>
      <c r="D31" s="265" t="s">
        <v>0</v>
      </c>
      <c r="E31" s="120"/>
      <c r="F31" s="263"/>
      <c r="G31" s="263"/>
      <c r="H31" s="263"/>
      <c r="I31" s="263"/>
      <c r="J31" s="237"/>
    </row>
    <row r="32" spans="2:16" ht="16.5">
      <c r="B32" s="266">
        <v>0.05</v>
      </c>
      <c r="C32" s="222"/>
      <c r="D32" s="222" t="s">
        <v>65</v>
      </c>
      <c r="E32" s="270"/>
      <c r="F32" s="146">
        <f>105898</f>
        <v>105898</v>
      </c>
      <c r="G32" s="146">
        <f>187274-F32</f>
        <v>81376</v>
      </c>
      <c r="H32" s="146">
        <f>254837-G32-F32</f>
        <v>67563</v>
      </c>
      <c r="I32" s="146">
        <f>327591-H32-G32-F32</f>
        <v>72754</v>
      </c>
      <c r="J32" s="146">
        <f>F32+G32+H32+I32</f>
        <v>327591</v>
      </c>
    </row>
    <row r="33" spans="1:10" ht="10.15" customHeight="1">
      <c r="B33" s="271"/>
      <c r="C33" s="265"/>
      <c r="D33" s="265"/>
      <c r="E33" s="120"/>
      <c r="F33" s="263"/>
      <c r="G33" s="263"/>
      <c r="H33" s="263"/>
      <c r="I33" s="263"/>
      <c r="J33" s="263"/>
    </row>
    <row r="34" spans="1:10" ht="16.5">
      <c r="B34" s="272"/>
      <c r="C34" s="268"/>
      <c r="D34" s="268" t="s">
        <v>105</v>
      </c>
      <c r="E34" s="270"/>
      <c r="F34" s="146"/>
      <c r="G34" s="146"/>
      <c r="H34" s="146"/>
      <c r="I34" s="146"/>
      <c r="J34" s="146">
        <f>J10+J12+J14+J16+J18+J20+J22+J24+J26+J28+J30+J32</f>
        <v>1378028</v>
      </c>
    </row>
    <row r="35" spans="1:10" ht="17.45" customHeight="1">
      <c r="A35" s="225"/>
      <c r="B35" s="273"/>
      <c r="C35" s="247"/>
      <c r="D35" s="247"/>
      <c r="E35" s="247"/>
      <c r="J35" s="151">
        <f>SUM(F34:I34)</f>
        <v>0</v>
      </c>
    </row>
    <row r="36" spans="1:10" ht="15.75">
      <c r="A36" s="225"/>
      <c r="B36" s="274"/>
      <c r="C36" s="275"/>
    </row>
    <row r="37" spans="1:10" ht="15.75">
      <c r="A37" s="225"/>
      <c r="B37" s="276" t="s">
        <v>0</v>
      </c>
      <c r="C37" s="247"/>
      <c r="D37" s="247"/>
      <c r="E37" s="247"/>
    </row>
    <row r="38" spans="1:10">
      <c r="A38" s="225"/>
      <c r="B38" s="277" t="s">
        <v>0</v>
      </c>
      <c r="C38" s="277"/>
      <c r="D38" s="277"/>
      <c r="E38" s="277"/>
    </row>
    <row r="39" spans="1:10">
      <c r="B39" s="151" t="s">
        <v>0</v>
      </c>
    </row>
  </sheetData>
  <mergeCells count="1">
    <mergeCell ref="L22:P22"/>
  </mergeCells>
  <pageMargins left="0.7" right="0.7" top="0.75" bottom="0.75" header="0.3" footer="0.3"/>
  <pageSetup orientation="landscape" r:id="rId1"/>
  <headerFooter>
    <oddFooter xml:space="preserve">&amp;L&amp;"SWISS,Bold"&amp;10Report Date: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LTaxCounty10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2017</vt:lpstr>
      <vt:lpstr>LTax Muni 2017</vt:lpstr>
      <vt:lpstr>'LTax County 2017'!Print_Area</vt:lpstr>
      <vt:lpstr>'LTax Muni 2017'!Print_Area</vt:lpstr>
      <vt:lpstr>LTaxCounty10!Print_Area</vt:lpstr>
      <vt:lpstr>'LTax Muni 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Jolene Gonzales</cp:lastModifiedBy>
  <cp:lastPrinted>2019-01-29T18:13:43Z</cp:lastPrinted>
  <dcterms:created xsi:type="dcterms:W3CDTF">2000-10-10T16:59:58Z</dcterms:created>
  <dcterms:modified xsi:type="dcterms:W3CDTF">2019-01-29T20:10:09Z</dcterms:modified>
</cp:coreProperties>
</file>