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img\Desktop\"/>
    </mc:Choice>
  </mc:AlternateContent>
  <xr:revisionPtr revIDLastSave="0" documentId="13_ncr:1_{ED7F044C-8209-4286-B1E2-92F24107F24A}" xr6:coauthVersionLast="47" xr6:coauthVersionMax="47" xr10:uidLastSave="{00000000-0000-0000-0000-000000000000}"/>
  <bookViews>
    <workbookView xWindow="28680" yWindow="-120" windowWidth="29040" windowHeight="17640" tabRatio="731" firstSheet="10" activeTab="10" xr2:uid="{00000000-000D-0000-FFFF-FFFF00000000}"/>
  </bookViews>
  <sheets>
    <sheet name="LTaxCounty10" sheetId="2" state="hidden" r:id="rId1"/>
    <sheet name="LTaxMuni10" sheetId="1" r:id="rId2"/>
    <sheet name="LTaxCounty11" sheetId="3" r:id="rId3"/>
    <sheet name="LTaxMuni11" sheetId="4" state="hidden" r:id="rId4"/>
    <sheet name="LTaxCounty12" sheetId="5" state="hidden" r:id="rId5"/>
    <sheet name="LTaxMuni12" sheetId="6" state="hidden" r:id="rId6"/>
    <sheet name="LTax County 13" sheetId="7" state="hidden" r:id="rId7"/>
    <sheet name="LTax Muni 13" sheetId="8" state="hidden" r:id="rId8"/>
    <sheet name="LTax County 14" sheetId="9" state="hidden" r:id="rId9"/>
    <sheet name="LTax Muni 14" sheetId="10" state="hidden" r:id="rId10"/>
    <sheet name="LTax County 2021" sheetId="13" r:id="rId11"/>
    <sheet name="LTax Muni 2021" sheetId="14" r:id="rId12"/>
  </sheets>
  <definedNames>
    <definedName name="_xlnm.Print_Area" localSheetId="10">'LTax County 2021'!$A$1:$K$33</definedName>
    <definedName name="_xlnm.Print_Area" localSheetId="11">'LTax Muni 2021'!$B$1:$H$81</definedName>
    <definedName name="_xlnm.Print_Area" localSheetId="0">LTaxCounty10!$A$1:$K$38</definedName>
    <definedName name="_xlnm.Print_Area" localSheetId="2">LTaxCounty11!$A$1:$AK$36</definedName>
    <definedName name="_xlnm.Print_Area" localSheetId="1">LTaxMuni10!$A$1:$I$78</definedName>
    <definedName name="_xlnm.Print_Titles" localSheetId="11">'LTax Muni 2021'!$1:$8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0" i="13" l="1"/>
  <c r="H30" i="13"/>
  <c r="I28" i="13"/>
  <c r="H28" i="13"/>
  <c r="I22" i="13"/>
  <c r="H22" i="13"/>
  <c r="I14" i="13"/>
  <c r="H14" i="13"/>
  <c r="I12" i="13"/>
  <c r="H12" i="13"/>
  <c r="I20" i="13"/>
  <c r="H20" i="13"/>
  <c r="G20" i="13"/>
  <c r="E64" i="14"/>
  <c r="E20" i="14"/>
  <c r="G51" i="14"/>
  <c r="F51" i="14"/>
  <c r="E51" i="14"/>
  <c r="E40" i="14"/>
  <c r="F40" i="14" s="1"/>
  <c r="G40" i="14" s="1"/>
  <c r="E13" i="14"/>
  <c r="F13" i="14" s="1"/>
  <c r="G13" i="14" s="1"/>
  <c r="E12" i="14"/>
  <c r="F12" i="14" s="1"/>
  <c r="G12" i="14" s="1"/>
  <c r="J20" i="13" l="1"/>
  <c r="G32" i="13"/>
  <c r="H32" i="13"/>
  <c r="I32" i="13"/>
  <c r="F32" i="13"/>
  <c r="E56" i="14" l="1"/>
  <c r="F56" i="14" s="1"/>
  <c r="G56" i="14" s="1"/>
  <c r="E16" i="14"/>
  <c r="F16" i="14" s="1"/>
  <c r="G16" i="14" s="1"/>
  <c r="D74" i="14" l="1"/>
  <c r="E74" i="14" s="1"/>
  <c r="F74" i="14" s="1"/>
  <c r="G74" i="14" s="1"/>
  <c r="F15" i="14"/>
  <c r="E68" i="14" l="1"/>
  <c r="F68" i="14" s="1"/>
  <c r="G68" i="14" s="1"/>
  <c r="D27" i="14"/>
  <c r="E27" i="14" s="1"/>
  <c r="F27" i="14" s="1"/>
  <c r="G27" i="14" s="1"/>
  <c r="D22" i="14"/>
  <c r="E22" i="14" s="1"/>
  <c r="F22" i="14" s="1"/>
  <c r="G22" i="14" s="1"/>
  <c r="H68" i="14" l="1"/>
  <c r="D75" i="14"/>
  <c r="E75" i="14" s="1"/>
  <c r="F75" i="14" s="1"/>
  <c r="G75" i="14" s="1"/>
  <c r="D73" i="14" l="1"/>
  <c r="E73" i="14" s="1"/>
  <c r="F73" i="14" s="1"/>
  <c r="G73" i="14" s="1"/>
  <c r="D72" i="14" l="1"/>
  <c r="E72" i="14" s="1"/>
  <c r="F72" i="14" s="1"/>
  <c r="G72" i="14" s="1"/>
  <c r="D71" i="14"/>
  <c r="E71" i="14" s="1"/>
  <c r="F71" i="14" s="1"/>
  <c r="G71" i="14" s="1"/>
  <c r="D70" i="14" l="1"/>
  <c r="E70" i="14" s="1"/>
  <c r="F70" i="14" s="1"/>
  <c r="G70" i="14" s="1"/>
  <c r="E69" i="14"/>
  <c r="F69" i="14" s="1"/>
  <c r="G69" i="14" s="1"/>
  <c r="F67" i="14" l="1"/>
  <c r="G67" i="14" s="1"/>
  <c r="D66" i="14"/>
  <c r="E66" i="14" s="1"/>
  <c r="F66" i="14" s="1"/>
  <c r="G66" i="14" s="1"/>
  <c r="D65" i="14"/>
  <c r="E65" i="14" s="1"/>
  <c r="F65" i="14" s="1"/>
  <c r="G65" i="14" s="1"/>
  <c r="D60" i="14" l="1"/>
  <c r="E60" i="14" s="1"/>
  <c r="F60" i="14" s="1"/>
  <c r="G60" i="14" s="1"/>
  <c r="E59" i="14" l="1"/>
  <c r="F58" i="14"/>
  <c r="D59" i="14"/>
  <c r="D58" i="14"/>
  <c r="E58" i="14" s="1"/>
  <c r="D57" i="14"/>
  <c r="E57" i="14" s="1"/>
  <c r="F57" i="14" s="1"/>
  <c r="G57" i="14" s="1"/>
  <c r="E55" i="14"/>
  <c r="F55" i="14" s="1"/>
  <c r="G55" i="14" s="1"/>
  <c r="D55" i="14"/>
  <c r="D54" i="14"/>
  <c r="E54" i="14" s="1"/>
  <c r="F54" i="14" s="1"/>
  <c r="G54" i="14" s="1"/>
  <c r="F59" i="14" l="1"/>
  <c r="G59" i="14" s="1"/>
  <c r="G58" i="14"/>
  <c r="D53" i="14" l="1"/>
  <c r="E53" i="14" s="1"/>
  <c r="F53" i="14" s="1"/>
  <c r="G53" i="14" s="1"/>
  <c r="I26" i="13" l="1"/>
  <c r="F26" i="13"/>
  <c r="J26" i="13"/>
  <c r="G52" i="14"/>
  <c r="G20" i="14"/>
  <c r="F20" i="14"/>
  <c r="E50" i="14" l="1"/>
  <c r="F50" i="14" s="1"/>
  <c r="G50" i="14" s="1"/>
  <c r="D49" i="14"/>
  <c r="E49" i="14" s="1"/>
  <c r="F49" i="14" s="1"/>
  <c r="G49" i="14" s="1"/>
  <c r="D47" i="14"/>
  <c r="E47" i="14" s="1"/>
  <c r="F47" i="14" s="1"/>
  <c r="G47" i="14" s="1"/>
  <c r="F46" i="14"/>
  <c r="D46" i="14"/>
  <c r="E46" i="14" s="1"/>
  <c r="D45" i="14"/>
  <c r="E45" i="14" s="1"/>
  <c r="F45" i="14" s="1"/>
  <c r="G45" i="14" s="1"/>
  <c r="E44" i="14"/>
  <c r="F44" i="14" s="1"/>
  <c r="G44" i="14" s="1"/>
  <c r="D43" i="14"/>
  <c r="E43" i="14" s="1"/>
  <c r="F43" i="14" s="1"/>
  <c r="G43" i="14" s="1"/>
  <c r="G46" i="14" l="1"/>
  <c r="E42" i="14" l="1"/>
  <c r="F42" i="14" s="1"/>
  <c r="G42" i="14" s="1"/>
  <c r="E41" i="14"/>
  <c r="F41" i="14" s="1"/>
  <c r="G41" i="14" s="1"/>
  <c r="D39" i="14" l="1"/>
  <c r="E39" i="14" s="1"/>
  <c r="F39" i="14" s="1"/>
  <c r="G39" i="14" s="1"/>
  <c r="D38" i="14"/>
  <c r="E38" i="14" s="1"/>
  <c r="F38" i="14" s="1"/>
  <c r="G38" i="14" s="1"/>
  <c r="D37" i="14"/>
  <c r="E37" i="14" s="1"/>
  <c r="F37" i="14" s="1"/>
  <c r="G37" i="14" s="1"/>
  <c r="D36" i="14"/>
  <c r="E36" i="14" s="1"/>
  <c r="F36" i="14" s="1"/>
  <c r="G36" i="14" s="1"/>
  <c r="E35" i="14"/>
  <c r="F35" i="14" s="1"/>
  <c r="G34" i="14"/>
  <c r="D33" i="14"/>
  <c r="E33" i="14" s="1"/>
  <c r="F33" i="14" s="1"/>
  <c r="G33" i="14" s="1"/>
  <c r="D32" i="14"/>
  <c r="E32" i="14" s="1"/>
  <c r="G32" i="14" s="1"/>
  <c r="D30" i="14"/>
  <c r="E30" i="14" s="1"/>
  <c r="F30" i="14" s="1"/>
  <c r="G30" i="14" s="1"/>
  <c r="D29" i="14"/>
  <c r="E29" i="14" s="1"/>
  <c r="F29" i="14" s="1"/>
  <c r="G29" i="14" s="1"/>
  <c r="E28" i="14"/>
  <c r="F28" i="14" s="1"/>
  <c r="G28" i="14" s="1"/>
  <c r="D26" i="14" l="1"/>
  <c r="E26" i="14" s="1"/>
  <c r="F26" i="14" s="1"/>
  <c r="G26" i="14" s="1"/>
  <c r="D25" i="14" l="1"/>
  <c r="E25" i="14" s="1"/>
  <c r="F25" i="14" s="1"/>
  <c r="G25" i="14" s="1"/>
  <c r="D24" i="14" l="1"/>
  <c r="E24" i="14" s="1"/>
  <c r="F24" i="14" s="1"/>
  <c r="G24" i="14" s="1"/>
  <c r="D23" i="14" l="1"/>
  <c r="E23" i="14" s="1"/>
  <c r="F23" i="14" s="1"/>
  <c r="G23" i="14" s="1"/>
  <c r="F21" i="14" l="1"/>
  <c r="E21" i="14" l="1"/>
  <c r="G21" i="14" s="1"/>
  <c r="D19" i="14" l="1"/>
  <c r="E19" i="14"/>
  <c r="D18" i="14"/>
  <c r="F19" i="14" l="1"/>
  <c r="G19" i="14" s="1"/>
  <c r="E17" i="14"/>
  <c r="F17" i="14" s="1"/>
  <c r="G17" i="14" s="1"/>
  <c r="E11" i="14" l="1"/>
  <c r="F11" i="14" s="1"/>
  <c r="G11" i="14" s="1"/>
  <c r="E10" i="14"/>
  <c r="F10" i="14" s="1"/>
  <c r="G10" i="14" s="1"/>
  <c r="E9" i="14"/>
  <c r="F9" i="14" s="1"/>
  <c r="G9" i="14" s="1"/>
  <c r="E14" i="14"/>
  <c r="F14" i="14" s="1"/>
  <c r="G14" i="14" s="1"/>
  <c r="E15" i="14"/>
  <c r="F24" i="13" l="1"/>
  <c r="G24" i="13" s="1"/>
  <c r="H24" i="13" s="1"/>
  <c r="I24" i="13" s="1"/>
  <c r="D31" i="14" l="1"/>
  <c r="E31" i="14" s="1"/>
  <c r="F31" i="14" s="1"/>
  <c r="G31" i="14" s="1"/>
  <c r="F16" i="13"/>
  <c r="G16" i="13" s="1"/>
  <c r="H16" i="13" s="1"/>
  <c r="I16" i="13" s="1"/>
  <c r="G30" i="13"/>
  <c r="F30" i="13"/>
  <c r="G28" i="13"/>
  <c r="G22" i="13"/>
  <c r="G18" i="13" l="1"/>
  <c r="G14" i="13"/>
  <c r="G12" i="13"/>
  <c r="G10" i="13" l="1"/>
  <c r="H10" i="13" s="1"/>
  <c r="I10" i="13" s="1"/>
  <c r="F28" i="13"/>
  <c r="F22" i="13"/>
  <c r="F18" i="13"/>
  <c r="H18" i="13" s="1"/>
  <c r="I18" i="13" s="1"/>
  <c r="F14" i="13"/>
  <c r="F12" i="13"/>
  <c r="E48" i="14" l="1"/>
  <c r="F48" i="14" s="1"/>
  <c r="G48" i="14" s="1"/>
  <c r="D48" i="14"/>
  <c r="J30" i="13" l="1"/>
  <c r="J28" i="13"/>
  <c r="J24" i="13"/>
  <c r="J22" i="13"/>
  <c r="J18" i="13"/>
  <c r="J16" i="13"/>
  <c r="J14" i="13"/>
  <c r="J12" i="13"/>
  <c r="J10" i="13"/>
  <c r="J32" i="13" l="1"/>
  <c r="H10" i="14"/>
  <c r="H11" i="14"/>
  <c r="H12" i="14"/>
  <c r="H13" i="14"/>
  <c r="H14" i="14"/>
  <c r="H15" i="14"/>
  <c r="H16" i="14"/>
  <c r="H17" i="14"/>
  <c r="H18" i="14"/>
  <c r="H19" i="14"/>
  <c r="H20" i="14"/>
  <c r="H21" i="14"/>
  <c r="H22" i="14"/>
  <c r="H23" i="14"/>
  <c r="H24" i="14"/>
  <c r="H25" i="14"/>
  <c r="H26" i="14"/>
  <c r="H27" i="14"/>
  <c r="H28" i="14"/>
  <c r="H29" i="14"/>
  <c r="H30" i="14"/>
  <c r="H31" i="14"/>
  <c r="H32" i="14"/>
  <c r="H33" i="14"/>
  <c r="H34" i="14"/>
  <c r="H35" i="14"/>
  <c r="H36" i="14"/>
  <c r="H37" i="14"/>
  <c r="H38" i="14"/>
  <c r="H39" i="14"/>
  <c r="H40" i="14"/>
  <c r="H41" i="14"/>
  <c r="H42" i="14"/>
  <c r="H43" i="14"/>
  <c r="H44" i="14"/>
  <c r="H45" i="14"/>
  <c r="H46" i="14"/>
  <c r="H47" i="14"/>
  <c r="H48" i="14"/>
  <c r="H49" i="14"/>
  <c r="H50" i="14"/>
  <c r="H51" i="14"/>
  <c r="H52" i="14"/>
  <c r="H53" i="14"/>
  <c r="H54" i="14"/>
  <c r="H55" i="14"/>
  <c r="H56" i="14"/>
  <c r="H57" i="14"/>
  <c r="H58" i="14"/>
  <c r="H59" i="14"/>
  <c r="H60" i="14"/>
  <c r="H61" i="14"/>
  <c r="H62" i="14"/>
  <c r="H63" i="14"/>
  <c r="H64" i="14"/>
  <c r="H65" i="14"/>
  <c r="H66" i="14"/>
  <c r="H67" i="14"/>
  <c r="H69" i="14"/>
  <c r="H70" i="14"/>
  <c r="H71" i="14"/>
  <c r="H72" i="14"/>
  <c r="H73" i="14"/>
  <c r="H74" i="14"/>
  <c r="H75" i="14"/>
  <c r="H9" i="14"/>
  <c r="H77" i="14" l="1"/>
  <c r="E77" i="14"/>
  <c r="D77" i="14"/>
  <c r="F77" i="14"/>
  <c r="D24" i="10"/>
  <c r="C24" i="10"/>
  <c r="I17" i="3"/>
  <c r="K17" i="3" s="1"/>
  <c r="E18" i="4"/>
  <c r="E22" i="4"/>
  <c r="F22" i="4" s="1"/>
  <c r="F24" i="4"/>
  <c r="F30" i="4"/>
  <c r="E32" i="4"/>
  <c r="F32" i="4" s="1"/>
  <c r="E41" i="4"/>
  <c r="E45" i="4"/>
  <c r="E49" i="4"/>
  <c r="E54" i="4"/>
  <c r="E58" i="4"/>
  <c r="F58" i="4" s="1"/>
  <c r="E62" i="4"/>
  <c r="F62" i="4" s="1"/>
  <c r="G22" i="10"/>
  <c r="G21" i="10"/>
  <c r="G20" i="10"/>
  <c r="G19" i="10"/>
  <c r="G18" i="10"/>
  <c r="G17" i="10"/>
  <c r="G16" i="10"/>
  <c r="G15" i="10"/>
  <c r="G14" i="10"/>
  <c r="G13" i="10"/>
  <c r="G12" i="10"/>
  <c r="G11" i="10"/>
  <c r="G10" i="10"/>
  <c r="G9" i="10"/>
  <c r="G8" i="10"/>
  <c r="G73" i="10" s="1"/>
  <c r="G71" i="10"/>
  <c r="G70" i="10"/>
  <c r="G69" i="10"/>
  <c r="G68" i="10"/>
  <c r="G67" i="10"/>
  <c r="G66" i="10"/>
  <c r="G65" i="10"/>
  <c r="G64" i="10"/>
  <c r="G63" i="10"/>
  <c r="G62" i="10"/>
  <c r="G61" i="10"/>
  <c r="G60" i="10"/>
  <c r="G59" i="10"/>
  <c r="G58" i="10"/>
  <c r="G57" i="10"/>
  <c r="G56" i="10"/>
  <c r="G55" i="10"/>
  <c r="G54" i="10"/>
  <c r="G53" i="10"/>
  <c r="G52" i="10"/>
  <c r="G51" i="10"/>
  <c r="G50" i="10"/>
  <c r="G49" i="10"/>
  <c r="G48" i="10"/>
  <c r="G47" i="10"/>
  <c r="G46" i="10"/>
  <c r="G45" i="10"/>
  <c r="G44" i="10"/>
  <c r="G43" i="10"/>
  <c r="G42" i="10"/>
  <c r="G41" i="10"/>
  <c r="G40" i="10"/>
  <c r="G39" i="10"/>
  <c r="G38" i="10"/>
  <c r="G37" i="10"/>
  <c r="G36" i="10"/>
  <c r="G35" i="10"/>
  <c r="G34" i="10"/>
  <c r="G33" i="10"/>
  <c r="G32" i="10"/>
  <c r="G31" i="10"/>
  <c r="G30" i="10"/>
  <c r="G29" i="10"/>
  <c r="G28" i="10"/>
  <c r="G27" i="10"/>
  <c r="G26" i="10"/>
  <c r="G25" i="10"/>
  <c r="G24" i="10"/>
  <c r="G23" i="10"/>
  <c r="I29" i="9"/>
  <c r="I28" i="9"/>
  <c r="I27" i="9"/>
  <c r="I26" i="9"/>
  <c r="I25" i="9"/>
  <c r="I24" i="9"/>
  <c r="I23" i="9"/>
  <c r="I22" i="9"/>
  <c r="I21" i="9"/>
  <c r="I20" i="9"/>
  <c r="I19" i="9"/>
  <c r="I18" i="9"/>
  <c r="I17" i="9"/>
  <c r="I16" i="9"/>
  <c r="I15" i="9"/>
  <c r="I14" i="9"/>
  <c r="I13" i="9"/>
  <c r="I12" i="9"/>
  <c r="I11" i="9"/>
  <c r="I10" i="9"/>
  <c r="I9" i="9"/>
  <c r="I8" i="9"/>
  <c r="I31" i="9"/>
  <c r="G33" i="9"/>
  <c r="E33" i="9"/>
  <c r="F33" i="9"/>
  <c r="C73" i="10"/>
  <c r="G1" i="10"/>
  <c r="H33" i="9"/>
  <c r="I34" i="9"/>
  <c r="D73" i="10"/>
  <c r="G74" i="10" s="1"/>
  <c r="E16" i="8"/>
  <c r="E73" i="10"/>
  <c r="E70" i="8"/>
  <c r="F70" i="8"/>
  <c r="F73" i="10"/>
  <c r="E49" i="8"/>
  <c r="F49" i="8"/>
  <c r="H13" i="7"/>
  <c r="E17" i="1"/>
  <c r="G17" i="1"/>
  <c r="G24" i="1"/>
  <c r="G71" i="6"/>
  <c r="G61" i="6"/>
  <c r="G14" i="6"/>
  <c r="F24" i="6"/>
  <c r="G24" i="6" s="1"/>
  <c r="F15" i="6"/>
  <c r="G15" i="6"/>
  <c r="H15" i="6" s="1"/>
  <c r="G9" i="6"/>
  <c r="G8" i="6"/>
  <c r="I29" i="5"/>
  <c r="J29" i="5" s="1"/>
  <c r="G70" i="8"/>
  <c r="G49" i="8"/>
  <c r="G15" i="8"/>
  <c r="E14" i="8"/>
  <c r="D55" i="8"/>
  <c r="E55" i="8"/>
  <c r="F55" i="8"/>
  <c r="I13" i="7"/>
  <c r="D39" i="8"/>
  <c r="E39" i="8" s="1"/>
  <c r="F39" i="8" s="1"/>
  <c r="F23" i="7"/>
  <c r="G23" i="7"/>
  <c r="F29" i="7"/>
  <c r="G29" i="7" s="1"/>
  <c r="H29" i="7" s="1"/>
  <c r="D21" i="8"/>
  <c r="E21" i="8"/>
  <c r="D44" i="8"/>
  <c r="E44" i="8" s="1"/>
  <c r="F44" i="8" s="1"/>
  <c r="D65" i="8"/>
  <c r="E65" i="8"/>
  <c r="D25" i="8"/>
  <c r="E25" i="8" s="1"/>
  <c r="F25" i="8" s="1"/>
  <c r="D26" i="8"/>
  <c r="E26" i="8"/>
  <c r="D27" i="8"/>
  <c r="F19" i="7"/>
  <c r="G19" i="7" s="1"/>
  <c r="H19" i="7" s="1"/>
  <c r="F21" i="7"/>
  <c r="G21" i="7" s="1"/>
  <c r="H21" i="7" s="1"/>
  <c r="I19" i="7"/>
  <c r="E27" i="8"/>
  <c r="G27" i="8" s="1"/>
  <c r="F27" i="8"/>
  <c r="D19" i="8"/>
  <c r="D48" i="8"/>
  <c r="F11" i="7"/>
  <c r="G11" i="7"/>
  <c r="I11" i="7" s="1"/>
  <c r="H11" i="7"/>
  <c r="E19" i="8"/>
  <c r="F19" i="8"/>
  <c r="D61" i="8"/>
  <c r="D60" i="8"/>
  <c r="D46" i="8"/>
  <c r="G46" i="8" s="1"/>
  <c r="E60" i="8"/>
  <c r="F60" i="8" s="1"/>
  <c r="E46" i="8"/>
  <c r="F46" i="8" s="1"/>
  <c r="E61" i="8"/>
  <c r="F61" i="8" s="1"/>
  <c r="G61" i="8" s="1"/>
  <c r="F17" i="7"/>
  <c r="D14" i="8"/>
  <c r="D12" i="8"/>
  <c r="D10" i="8"/>
  <c r="D69" i="8"/>
  <c r="D41" i="8"/>
  <c r="D40" i="8"/>
  <c r="F27" i="7"/>
  <c r="D64" i="8"/>
  <c r="D31" i="8"/>
  <c r="E31" i="8" s="1"/>
  <c r="D35" i="8"/>
  <c r="D16" i="8"/>
  <c r="F16" i="8" s="1"/>
  <c r="E41" i="8"/>
  <c r="F41" i="8" s="1"/>
  <c r="E10" i="8"/>
  <c r="F10" i="8" s="1"/>
  <c r="F14" i="8"/>
  <c r="E64" i="8"/>
  <c r="E40" i="8"/>
  <c r="F40" i="8" s="1"/>
  <c r="G40" i="8" s="1"/>
  <c r="E69" i="8"/>
  <c r="F69" i="8" s="1"/>
  <c r="G17" i="7"/>
  <c r="I17" i="7"/>
  <c r="D45" i="8"/>
  <c r="D63" i="8"/>
  <c r="D30" i="8"/>
  <c r="D67" i="8"/>
  <c r="D52" i="8"/>
  <c r="D9" i="8"/>
  <c r="E9" i="8"/>
  <c r="F9" i="8"/>
  <c r="G9" i="8" s="1"/>
  <c r="E67" i="8"/>
  <c r="F67" i="8" s="1"/>
  <c r="E63" i="8"/>
  <c r="F63" i="8"/>
  <c r="G63" i="8" s="1"/>
  <c r="E30" i="8"/>
  <c r="F30" i="8"/>
  <c r="G30" i="8" s="1"/>
  <c r="E45" i="8"/>
  <c r="F45" i="8" s="1"/>
  <c r="F64" i="8"/>
  <c r="D34" i="8"/>
  <c r="E34" i="8"/>
  <c r="F34" i="8" s="1"/>
  <c r="D42" i="8"/>
  <c r="F31" i="7"/>
  <c r="D18" i="8"/>
  <c r="D53" i="8"/>
  <c r="D43" i="8"/>
  <c r="D66" i="8"/>
  <c r="E66" i="8" s="1"/>
  <c r="D37" i="8"/>
  <c r="D57" i="8"/>
  <c r="D62" i="8"/>
  <c r="D51" i="8"/>
  <c r="D20" i="8"/>
  <c r="D54" i="8"/>
  <c r="E54" i="8" s="1"/>
  <c r="F54" i="8" s="1"/>
  <c r="D56" i="8"/>
  <c r="D17" i="8"/>
  <c r="D23" i="8"/>
  <c r="E51" i="8"/>
  <c r="F51" i="8" s="1"/>
  <c r="E57" i="8"/>
  <c r="E53" i="8"/>
  <c r="F53" i="8"/>
  <c r="G53" i="8"/>
  <c r="G31" i="7"/>
  <c r="H31" i="7" s="1"/>
  <c r="I31" i="7"/>
  <c r="E23" i="8"/>
  <c r="F23" i="8"/>
  <c r="G23" i="8" s="1"/>
  <c r="E56" i="8"/>
  <c r="G56" i="8" s="1"/>
  <c r="F56" i="8"/>
  <c r="E20" i="8"/>
  <c r="G20" i="8" s="1"/>
  <c r="F20" i="8"/>
  <c r="E37" i="8"/>
  <c r="E43" i="8"/>
  <c r="F43" i="8" s="1"/>
  <c r="G43" i="8" s="1"/>
  <c r="E18" i="8"/>
  <c r="F18" i="8"/>
  <c r="G18" i="8"/>
  <c r="D32" i="8"/>
  <c r="E32" i="8"/>
  <c r="F32" i="8" s="1"/>
  <c r="D28" i="8"/>
  <c r="D33" i="8"/>
  <c r="D29" i="8"/>
  <c r="D50" i="8"/>
  <c r="D8" i="8"/>
  <c r="D36" i="8"/>
  <c r="F25" i="7"/>
  <c r="I25" i="7" s="1"/>
  <c r="G25" i="7"/>
  <c r="H25" i="7"/>
  <c r="E8" i="8"/>
  <c r="F8" i="8" s="1"/>
  <c r="E29" i="8"/>
  <c r="F29" i="8" s="1"/>
  <c r="E50" i="8"/>
  <c r="F50" i="8"/>
  <c r="G50" i="8"/>
  <c r="E33" i="8"/>
  <c r="F33" i="8"/>
  <c r="G33" i="8"/>
  <c r="D24" i="8"/>
  <c r="E55" i="6"/>
  <c r="F55" i="6" s="1"/>
  <c r="G55" i="6" s="1"/>
  <c r="H55" i="6" s="1"/>
  <c r="D13" i="8"/>
  <c r="G13" i="8" s="1"/>
  <c r="E13" i="8"/>
  <c r="F13" i="8"/>
  <c r="E24" i="8"/>
  <c r="D68" i="8"/>
  <c r="E68" i="8" s="1"/>
  <c r="F68" i="8" s="1"/>
  <c r="D59" i="8"/>
  <c r="F15" i="7"/>
  <c r="G15" i="7" s="1"/>
  <c r="H15" i="7" s="1"/>
  <c r="D38" i="8"/>
  <c r="D22" i="8"/>
  <c r="E22" i="8" s="1"/>
  <c r="D11" i="8"/>
  <c r="F9" i="7"/>
  <c r="D58" i="8"/>
  <c r="E58" i="8"/>
  <c r="G9" i="7"/>
  <c r="D47" i="8"/>
  <c r="G47" i="8" s="1"/>
  <c r="E47" i="8"/>
  <c r="F47" i="8"/>
  <c r="D71" i="8"/>
  <c r="E71" i="8"/>
  <c r="F71" i="8" s="1"/>
  <c r="G71" i="8" s="1"/>
  <c r="C73" i="8"/>
  <c r="F33" i="7"/>
  <c r="E33" i="7"/>
  <c r="E25" i="6"/>
  <c r="F25" i="6"/>
  <c r="G25" i="6" s="1"/>
  <c r="H25" i="6" s="1"/>
  <c r="H71" i="6"/>
  <c r="H59" i="6"/>
  <c r="H45" i="6"/>
  <c r="H24" i="6"/>
  <c r="G1" i="8"/>
  <c r="K23" i="5"/>
  <c r="K13" i="5"/>
  <c r="E65" i="6"/>
  <c r="F65" i="6"/>
  <c r="H65" i="6" s="1"/>
  <c r="G65" i="6"/>
  <c r="H19" i="5"/>
  <c r="E61" i="6"/>
  <c r="H61" i="6" s="1"/>
  <c r="E60" i="6"/>
  <c r="F60" i="6"/>
  <c r="G60" i="6" s="1"/>
  <c r="E68" i="6"/>
  <c r="F68" i="6"/>
  <c r="G68" i="6" s="1"/>
  <c r="H68" i="6" s="1"/>
  <c r="I19" i="5"/>
  <c r="J19" i="5" s="1"/>
  <c r="K19" i="5" s="1"/>
  <c r="E17" i="6"/>
  <c r="H17" i="6"/>
  <c r="E41" i="6"/>
  <c r="E40" i="6"/>
  <c r="F40" i="6" s="1"/>
  <c r="E11" i="6"/>
  <c r="E69" i="6"/>
  <c r="E16" i="6"/>
  <c r="F69" i="6"/>
  <c r="G69" i="6" s="1"/>
  <c r="F16" i="6"/>
  <c r="F11" i="6"/>
  <c r="G11" i="6" s="1"/>
  <c r="H11" i="6" s="1"/>
  <c r="H21" i="5"/>
  <c r="E48" i="6"/>
  <c r="F48" i="6" s="1"/>
  <c r="G48" i="6" s="1"/>
  <c r="E14" i="6"/>
  <c r="H14" i="6" s="1"/>
  <c r="E13" i="6"/>
  <c r="F13" i="6" s="1"/>
  <c r="G13" i="6" s="1"/>
  <c r="E34" i="6"/>
  <c r="F34" i="6" s="1"/>
  <c r="I21" i="5"/>
  <c r="J21" i="5" s="1"/>
  <c r="K21" i="5" s="1"/>
  <c r="E30" i="6"/>
  <c r="F30" i="6" s="1"/>
  <c r="H13" i="6"/>
  <c r="E20" i="6"/>
  <c r="F20" i="6"/>
  <c r="G20" i="6" s="1"/>
  <c r="E21" i="6"/>
  <c r="F21" i="6" s="1"/>
  <c r="G21" i="6" s="1"/>
  <c r="H20" i="6"/>
  <c r="E26" i="6"/>
  <c r="F26" i="6"/>
  <c r="G26" i="6" s="1"/>
  <c r="E44" i="6"/>
  <c r="E27" i="6"/>
  <c r="H27" i="6" s="1"/>
  <c r="H30" i="5"/>
  <c r="H11" i="5"/>
  <c r="I30" i="5"/>
  <c r="J30" i="5" s="1"/>
  <c r="K30" i="5" s="1"/>
  <c r="I11" i="5"/>
  <c r="J11" i="5" s="1"/>
  <c r="K11" i="5" s="1"/>
  <c r="E57" i="6"/>
  <c r="F57" i="6"/>
  <c r="G57" i="6"/>
  <c r="E66" i="6"/>
  <c r="E49" i="6"/>
  <c r="E10" i="6"/>
  <c r="E56" i="6"/>
  <c r="E53" i="6"/>
  <c r="F53" i="6" s="1"/>
  <c r="G53" i="6" s="1"/>
  <c r="E18" i="6"/>
  <c r="E9" i="6"/>
  <c r="H9" i="6"/>
  <c r="E33" i="6"/>
  <c r="E50" i="6"/>
  <c r="E19" i="6"/>
  <c r="F19" i="6" s="1"/>
  <c r="G19" i="6" s="1"/>
  <c r="E46" i="6"/>
  <c r="E70" i="6"/>
  <c r="E43" i="6"/>
  <c r="E63" i="6"/>
  <c r="F63" i="6" s="1"/>
  <c r="G63" i="6" s="1"/>
  <c r="H57" i="6"/>
  <c r="H19" i="6"/>
  <c r="F33" i="6"/>
  <c r="G33" i="6"/>
  <c r="F18" i="6"/>
  <c r="G18" i="6" s="1"/>
  <c r="H18" i="6" s="1"/>
  <c r="F56" i="6"/>
  <c r="G56" i="6"/>
  <c r="H56" i="6" s="1"/>
  <c r="F49" i="6"/>
  <c r="F43" i="6"/>
  <c r="G43" i="6" s="1"/>
  <c r="H43" i="6" s="1"/>
  <c r="F46" i="6"/>
  <c r="G46" i="6" s="1"/>
  <c r="F50" i="6"/>
  <c r="F10" i="6"/>
  <c r="F66" i="6"/>
  <c r="H66" i="6" s="1"/>
  <c r="G66" i="6"/>
  <c r="E31" i="6"/>
  <c r="F31" i="6" s="1"/>
  <c r="E67" i="6"/>
  <c r="E23" i="6"/>
  <c r="E37" i="6"/>
  <c r="F37" i="6" s="1"/>
  <c r="G37" i="6" s="1"/>
  <c r="H33" i="6"/>
  <c r="F67" i="6"/>
  <c r="G67" i="6"/>
  <c r="F23" i="6"/>
  <c r="G23" i="6"/>
  <c r="H23" i="6" s="1"/>
  <c r="E52" i="6"/>
  <c r="H67" i="6"/>
  <c r="F52" i="6"/>
  <c r="G52" i="6"/>
  <c r="H52" i="6" s="1"/>
  <c r="E54" i="6"/>
  <c r="H17" i="5"/>
  <c r="I17" i="5" s="1"/>
  <c r="K17" i="5" s="1"/>
  <c r="E42" i="6"/>
  <c r="E35" i="6"/>
  <c r="F35" i="6" s="1"/>
  <c r="G35" i="6" s="1"/>
  <c r="E64" i="6"/>
  <c r="E32" i="6"/>
  <c r="F32" i="6"/>
  <c r="G32" i="6" s="1"/>
  <c r="F42" i="6"/>
  <c r="H42" i="6" s="1"/>
  <c r="G42" i="6"/>
  <c r="F54" i="6"/>
  <c r="G54" i="6"/>
  <c r="H27" i="5"/>
  <c r="I27" i="5" s="1"/>
  <c r="J27" i="5" s="1"/>
  <c r="K27" i="5" s="1"/>
  <c r="G32" i="5"/>
  <c r="H9" i="5"/>
  <c r="E51" i="6"/>
  <c r="E39" i="6"/>
  <c r="E28" i="6"/>
  <c r="F39" i="6"/>
  <c r="G39" i="6"/>
  <c r="H39" i="6" s="1"/>
  <c r="F28" i="6"/>
  <c r="G28" i="6" s="1"/>
  <c r="F51" i="6"/>
  <c r="G51" i="6" s="1"/>
  <c r="E8" i="6"/>
  <c r="E29" i="6"/>
  <c r="E38" i="6"/>
  <c r="H25" i="5"/>
  <c r="I25" i="5" s="1"/>
  <c r="J25" i="5" s="1"/>
  <c r="K25" i="5" s="1"/>
  <c r="F29" i="6"/>
  <c r="G29" i="6"/>
  <c r="E12" i="6"/>
  <c r="F12" i="6" s="1"/>
  <c r="G12" i="6" s="1"/>
  <c r="H12" i="6"/>
  <c r="H15" i="5"/>
  <c r="I15" i="5"/>
  <c r="J15" i="5" s="1"/>
  <c r="K15" i="5" s="1"/>
  <c r="E22" i="6"/>
  <c r="F22" i="6" s="1"/>
  <c r="G22" i="6" s="1"/>
  <c r="E36" i="6"/>
  <c r="E58" i="6"/>
  <c r="F58" i="6" s="1"/>
  <c r="F36" i="6"/>
  <c r="H22" i="6"/>
  <c r="E47" i="6"/>
  <c r="F47" i="6" s="1"/>
  <c r="G47" i="6" s="1"/>
  <c r="E62" i="6"/>
  <c r="F62" i="6"/>
  <c r="G62" i="6"/>
  <c r="F11" i="4"/>
  <c r="D72" i="6"/>
  <c r="H1" i="6"/>
  <c r="S1" i="5"/>
  <c r="J19" i="3"/>
  <c r="K19" i="3" s="1"/>
  <c r="D8" i="4"/>
  <c r="E8" i="4" s="1"/>
  <c r="H27" i="3"/>
  <c r="I27" i="3" s="1"/>
  <c r="D25" i="4"/>
  <c r="E25" i="4" s="1"/>
  <c r="D64" i="4"/>
  <c r="D26" i="4"/>
  <c r="D10" i="4"/>
  <c r="E10" i="4" s="1"/>
  <c r="F10" i="4" s="1"/>
  <c r="D9" i="4"/>
  <c r="E9" i="4" s="1"/>
  <c r="D53" i="4"/>
  <c r="D41" i="4"/>
  <c r="D40" i="4"/>
  <c r="E40" i="4" s="1"/>
  <c r="D54" i="4"/>
  <c r="D63" i="4"/>
  <c r="D44" i="4"/>
  <c r="E44" i="4" s="1"/>
  <c r="F44" i="4" s="1"/>
  <c r="D34" i="4"/>
  <c r="E34" i="4" s="1"/>
  <c r="E63" i="4"/>
  <c r="F63" i="4" s="1"/>
  <c r="G63" i="4" s="1"/>
  <c r="D68" i="4"/>
  <c r="H23" i="3"/>
  <c r="I23" i="3" s="1"/>
  <c r="D69" i="4"/>
  <c r="E69" i="4"/>
  <c r="F69" i="4" s="1"/>
  <c r="G69" i="4" s="1"/>
  <c r="D60" i="4"/>
  <c r="E60" i="4" s="1"/>
  <c r="F60" i="4" s="1"/>
  <c r="D59" i="4"/>
  <c r="D12" i="4"/>
  <c r="E12" i="4" s="1"/>
  <c r="H21" i="3"/>
  <c r="D48" i="4"/>
  <c r="E48" i="4" s="1"/>
  <c r="H9" i="3"/>
  <c r="I9" i="3" s="1"/>
  <c r="D31" i="4"/>
  <c r="D16" i="4"/>
  <c r="E16" i="4" s="1"/>
  <c r="D18" i="4"/>
  <c r="D37" i="4"/>
  <c r="D21" i="4"/>
  <c r="E21" i="4" s="1"/>
  <c r="D46" i="4"/>
  <c r="E46" i="4" s="1"/>
  <c r="D50" i="4"/>
  <c r="E50" i="4" s="1"/>
  <c r="D38" i="4"/>
  <c r="E38" i="4" s="1"/>
  <c r="G38" i="4" s="1"/>
  <c r="D61" i="4"/>
  <c r="D27" i="4"/>
  <c r="D58" i="4"/>
  <c r="G58" i="4" s="1"/>
  <c r="D36" i="4"/>
  <c r="H17" i="3"/>
  <c r="D65" i="4"/>
  <c r="H29" i="3"/>
  <c r="I29" i="3" s="1"/>
  <c r="J29" i="3" s="1"/>
  <c r="D56" i="4"/>
  <c r="E56" i="4" s="1"/>
  <c r="D23" i="4"/>
  <c r="E23" i="4" s="1"/>
  <c r="F23" i="4" s="1"/>
  <c r="G23" i="4" s="1"/>
  <c r="D66" i="4"/>
  <c r="E66" i="4"/>
  <c r="F66" i="4"/>
  <c r="G66" i="4" s="1"/>
  <c r="D29" i="4"/>
  <c r="E29" i="4" s="1"/>
  <c r="D28" i="4"/>
  <c r="E28" i="4" s="1"/>
  <c r="D33" i="4"/>
  <c r="E33" i="4" s="1"/>
  <c r="D20" i="4"/>
  <c r="E20" i="4" s="1"/>
  <c r="D32" i="4"/>
  <c r="D49" i="4"/>
  <c r="D14" i="4"/>
  <c r="E14" i="4" s="1"/>
  <c r="F14" i="4" s="1"/>
  <c r="D17" i="4"/>
  <c r="H13" i="3"/>
  <c r="I13" i="3" s="1"/>
  <c r="J13" i="3" s="1"/>
  <c r="D51" i="4"/>
  <c r="D42" i="4"/>
  <c r="E42" i="4" s="1"/>
  <c r="D52" i="4"/>
  <c r="E52" i="4" s="1"/>
  <c r="F52" i="4" s="1"/>
  <c r="D35" i="4"/>
  <c r="E35" i="4" s="1"/>
  <c r="F35" i="4" s="1"/>
  <c r="D39" i="4"/>
  <c r="E39" i="4" s="1"/>
  <c r="D62" i="4"/>
  <c r="G62" i="4" s="1"/>
  <c r="H11" i="3"/>
  <c r="D43" i="4"/>
  <c r="E43" i="4" s="1"/>
  <c r="D45" i="4"/>
  <c r="D19" i="4"/>
  <c r="E19" i="4" s="1"/>
  <c r="H25" i="3"/>
  <c r="I25" i="3" s="1"/>
  <c r="D47" i="4"/>
  <c r="D55" i="4"/>
  <c r="E55" i="4" s="1"/>
  <c r="D22" i="4"/>
  <c r="G22" i="4" s="1"/>
  <c r="H15" i="3"/>
  <c r="D70" i="4"/>
  <c r="E70" i="4" s="1"/>
  <c r="F70" i="4" s="1"/>
  <c r="D67" i="4"/>
  <c r="E67" i="4"/>
  <c r="D13" i="4"/>
  <c r="E13" i="4" s="1"/>
  <c r="F13" i="4" s="1"/>
  <c r="D57" i="4"/>
  <c r="D11" i="4"/>
  <c r="C72" i="4"/>
  <c r="G64" i="4"/>
  <c r="G24" i="4"/>
  <c r="G15" i="4"/>
  <c r="G1" i="4"/>
  <c r="G31" i="3"/>
  <c r="K1" i="3"/>
  <c r="H41" i="1"/>
  <c r="G11" i="4"/>
  <c r="G44" i="4"/>
  <c r="G51" i="4"/>
  <c r="G52" i="4"/>
  <c r="G60" i="4"/>
  <c r="K21" i="3"/>
  <c r="G27" i="4"/>
  <c r="G30" i="4"/>
  <c r="G65" i="4"/>
  <c r="J13" i="2"/>
  <c r="E15" i="1"/>
  <c r="D31" i="1"/>
  <c r="E31" i="1" s="1"/>
  <c r="G31" i="1" s="1"/>
  <c r="H31" i="1" s="1"/>
  <c r="H11" i="2"/>
  <c r="I11" i="2"/>
  <c r="J11" i="2"/>
  <c r="D27" i="1"/>
  <c r="E27" i="1" s="1"/>
  <c r="G27" i="1" s="1"/>
  <c r="D19" i="1"/>
  <c r="E19" i="1"/>
  <c r="G19" i="1" s="1"/>
  <c r="D21" i="1"/>
  <c r="E21" i="1"/>
  <c r="G21" i="1" s="1"/>
  <c r="D44" i="1"/>
  <c r="E44" i="1"/>
  <c r="G44" i="1" s="1"/>
  <c r="H21" i="2"/>
  <c r="I21" i="2" s="1"/>
  <c r="J21" i="2" s="1"/>
  <c r="D22" i="1"/>
  <c r="E22" i="1" s="1"/>
  <c r="G22" i="1" s="1"/>
  <c r="D10" i="1"/>
  <c r="E10" i="1" s="1"/>
  <c r="G10" i="1" s="1"/>
  <c r="H10" i="1" s="1"/>
  <c r="D9" i="1"/>
  <c r="E9" i="1"/>
  <c r="G9" i="1"/>
  <c r="H9" i="1" s="1"/>
  <c r="D51" i="1"/>
  <c r="E51" i="1" s="1"/>
  <c r="G51" i="1" s="1"/>
  <c r="D36" i="1"/>
  <c r="D69" i="1"/>
  <c r="E69" i="1" s="1"/>
  <c r="G69" i="1" s="1"/>
  <c r="D11" i="1"/>
  <c r="E11" i="1" s="1"/>
  <c r="G11" i="1" s="1"/>
  <c r="D60" i="1"/>
  <c r="E60" i="1" s="1"/>
  <c r="G60" i="1"/>
  <c r="D59" i="1"/>
  <c r="E59" i="1"/>
  <c r="G59" i="1"/>
  <c r="H17" i="2"/>
  <c r="I17" i="2" s="1"/>
  <c r="D45" i="1"/>
  <c r="E45" i="1" s="1"/>
  <c r="G45" i="1" s="1"/>
  <c r="H45" i="1" s="1"/>
  <c r="D38" i="1"/>
  <c r="E38" i="1"/>
  <c r="G38" i="1"/>
  <c r="D34" i="1"/>
  <c r="E34" i="1" s="1"/>
  <c r="G34" i="1" s="1"/>
  <c r="G31" i="2"/>
  <c r="H19" i="2"/>
  <c r="I19" i="2" s="1"/>
  <c r="J19" i="2"/>
  <c r="D70" i="1"/>
  <c r="E70" i="1" s="1"/>
  <c r="G70" i="1" s="1"/>
  <c r="D61" i="1"/>
  <c r="E61" i="1" s="1"/>
  <c r="G61" i="1"/>
  <c r="D42" i="1"/>
  <c r="E42" i="1"/>
  <c r="G42" i="1" s="1"/>
  <c r="H42" i="1" s="1"/>
  <c r="D53" i="1"/>
  <c r="E53" i="1" s="1"/>
  <c r="G53" i="1" s="1"/>
  <c r="H9" i="2"/>
  <c r="I9" i="2"/>
  <c r="D50" i="1"/>
  <c r="E50" i="1"/>
  <c r="G50" i="1" s="1"/>
  <c r="H50" i="1" s="1"/>
  <c r="D48" i="1"/>
  <c r="E48" i="1" s="1"/>
  <c r="G48" i="1" s="1"/>
  <c r="D58" i="1"/>
  <c r="E58" i="1"/>
  <c r="G58" i="1" s="1"/>
  <c r="D47" i="1"/>
  <c r="E47" i="1" s="1"/>
  <c r="D43" i="1"/>
  <c r="E43" i="1"/>
  <c r="G43" i="1" s="1"/>
  <c r="D68" i="1"/>
  <c r="E68" i="1" s="1"/>
  <c r="G68" i="1"/>
  <c r="H68" i="1" s="1"/>
  <c r="D67" i="1"/>
  <c r="E67" i="1" s="1"/>
  <c r="G67" i="1" s="1"/>
  <c r="D66" i="1"/>
  <c r="E66" i="1" s="1"/>
  <c r="G66" i="1"/>
  <c r="H29" i="2"/>
  <c r="I29" i="2"/>
  <c r="J29" i="2"/>
  <c r="K29" i="2" s="1"/>
  <c r="D65" i="1"/>
  <c r="E65" i="1" s="1"/>
  <c r="G65" i="1"/>
  <c r="H65" i="1" s="1"/>
  <c r="D62" i="1"/>
  <c r="E62" i="1"/>
  <c r="G62" i="1" s="1"/>
  <c r="H27" i="2"/>
  <c r="I27" i="2" s="1"/>
  <c r="H25" i="2"/>
  <c r="I25" i="2"/>
  <c r="J25" i="2" s="1"/>
  <c r="H23" i="2"/>
  <c r="I23" i="2" s="1"/>
  <c r="J23" i="2"/>
  <c r="K23" i="2" s="1"/>
  <c r="D56" i="1"/>
  <c r="E56" i="1" s="1"/>
  <c r="G56" i="1" s="1"/>
  <c r="D57" i="1"/>
  <c r="E57" i="1" s="1"/>
  <c r="G57" i="1"/>
  <c r="D55" i="1"/>
  <c r="E55" i="1"/>
  <c r="G55" i="1"/>
  <c r="H55" i="1" s="1"/>
  <c r="D54" i="1"/>
  <c r="E54" i="1" s="1"/>
  <c r="G54" i="1"/>
  <c r="H54" i="1" s="1"/>
  <c r="D52" i="1"/>
  <c r="E52" i="1"/>
  <c r="G52" i="1" s="1"/>
  <c r="D49" i="1"/>
  <c r="E49" i="1" s="1"/>
  <c r="D46" i="1"/>
  <c r="E46" i="1"/>
  <c r="G46" i="1" s="1"/>
  <c r="D64" i="1"/>
  <c r="E64" i="1" s="1"/>
  <c r="G64" i="1"/>
  <c r="H64" i="1" s="1"/>
  <c r="H15" i="2"/>
  <c r="I15" i="2" s="1"/>
  <c r="J15" i="2" s="1"/>
  <c r="D26" i="1"/>
  <c r="E26" i="1" s="1"/>
  <c r="G26" i="1"/>
  <c r="H13" i="2"/>
  <c r="I13" i="2"/>
  <c r="D40" i="1"/>
  <c r="D39" i="1"/>
  <c r="E39" i="1" s="1"/>
  <c r="G39" i="1" s="1"/>
  <c r="D37" i="1"/>
  <c r="E37" i="1"/>
  <c r="G37" i="1" s="1"/>
  <c r="H37" i="1" s="1"/>
  <c r="D35" i="1"/>
  <c r="E35" i="1"/>
  <c r="G35" i="1" s="1"/>
  <c r="H35" i="1" s="1"/>
  <c r="D33" i="1"/>
  <c r="E33" i="1"/>
  <c r="G33" i="1" s="1"/>
  <c r="H33" i="1" s="1"/>
  <c r="D32" i="1"/>
  <c r="E32" i="1" s="1"/>
  <c r="G32" i="1" s="1"/>
  <c r="D30" i="1"/>
  <c r="E30" i="1" s="1"/>
  <c r="D28" i="1"/>
  <c r="E28" i="1" s="1"/>
  <c r="D25" i="1"/>
  <c r="E25" i="1" s="1"/>
  <c r="D29" i="1"/>
  <c r="E29" i="1"/>
  <c r="G29" i="1" s="1"/>
  <c r="D23" i="1"/>
  <c r="E23" i="1"/>
  <c r="G23" i="1" s="1"/>
  <c r="H23" i="1" s="1"/>
  <c r="D18" i="1"/>
  <c r="E18" i="1"/>
  <c r="G18" i="1" s="1"/>
  <c r="D20" i="1"/>
  <c r="E20" i="1" s="1"/>
  <c r="G20" i="1" s="1"/>
  <c r="D16" i="1"/>
  <c r="E16" i="1" s="1"/>
  <c r="D14" i="1"/>
  <c r="E14" i="1" s="1"/>
  <c r="D12" i="1"/>
  <c r="E12" i="1" s="1"/>
  <c r="G12" i="1" s="1"/>
  <c r="D8" i="1"/>
  <c r="E8" i="1" s="1"/>
  <c r="D13" i="1"/>
  <c r="E13" i="1"/>
  <c r="G13" i="1" s="1"/>
  <c r="D63" i="1"/>
  <c r="E63" i="1"/>
  <c r="G63" i="1" s="1"/>
  <c r="H11" i="1"/>
  <c r="K22" i="2"/>
  <c r="K15" i="2"/>
  <c r="K11" i="2"/>
  <c r="K13" i="2"/>
  <c r="K21" i="2"/>
  <c r="K25" i="2"/>
  <c r="K1" i="2"/>
  <c r="H69" i="1"/>
  <c r="H15" i="1"/>
  <c r="H24" i="1"/>
  <c r="H1" i="1"/>
  <c r="H26" i="1"/>
  <c r="H17" i="1"/>
  <c r="H21" i="1"/>
  <c r="H22" i="1"/>
  <c r="H27" i="1"/>
  <c r="H36" i="1"/>
  <c r="H38" i="1"/>
  <c r="H43" i="1"/>
  <c r="H44" i="1"/>
  <c r="H46" i="1"/>
  <c r="H51" i="1"/>
  <c r="H53" i="1"/>
  <c r="H56" i="1"/>
  <c r="H61" i="1"/>
  <c r="H66" i="1"/>
  <c r="H67" i="1"/>
  <c r="C72" i="1"/>
  <c r="H58" i="1"/>
  <c r="H19" i="1"/>
  <c r="H52" i="1"/>
  <c r="J9" i="2"/>
  <c r="H57" i="1"/>
  <c r="H60" i="1"/>
  <c r="H70" i="1"/>
  <c r="K17" i="2"/>
  <c r="H62" i="1"/>
  <c r="K19" i="2"/>
  <c r="H31" i="2"/>
  <c r="K9" i="2"/>
  <c r="H59" i="1"/>
  <c r="G77" i="14"/>
  <c r="G47" i="1" l="1"/>
  <c r="H47" i="1"/>
  <c r="J27" i="2"/>
  <c r="I31" i="2"/>
  <c r="E72" i="1"/>
  <c r="H8" i="1"/>
  <c r="G8" i="1"/>
  <c r="G49" i="1"/>
  <c r="H49" i="1"/>
  <c r="G30" i="1"/>
  <c r="H30" i="1" s="1"/>
  <c r="G14" i="1"/>
  <c r="H14" i="1" s="1"/>
  <c r="J31" i="2"/>
  <c r="G16" i="1"/>
  <c r="H16" i="1" s="1"/>
  <c r="H25" i="1"/>
  <c r="G25" i="1"/>
  <c r="G28" i="1"/>
  <c r="H28" i="1"/>
  <c r="G67" i="4"/>
  <c r="F50" i="4"/>
  <c r="G50" i="4" s="1"/>
  <c r="H18" i="1"/>
  <c r="E40" i="1"/>
  <c r="G40" i="1" s="1"/>
  <c r="G70" i="4"/>
  <c r="F46" i="4"/>
  <c r="G46" i="4" s="1"/>
  <c r="F9" i="4"/>
  <c r="G9" i="4"/>
  <c r="F64" i="6"/>
  <c r="G64" i="6" s="1"/>
  <c r="H64" i="6"/>
  <c r="F44" i="6"/>
  <c r="G44" i="6" s="1"/>
  <c r="H44" i="6"/>
  <c r="G30" i="6"/>
  <c r="H30" i="6" s="1"/>
  <c r="F41" i="6"/>
  <c r="G41" i="6" s="1"/>
  <c r="H41" i="6"/>
  <c r="E28" i="8"/>
  <c r="F28" i="8" s="1"/>
  <c r="G28" i="8"/>
  <c r="F48" i="8"/>
  <c r="G48" i="8"/>
  <c r="F26" i="8"/>
  <c r="G26" i="8"/>
  <c r="G14" i="8"/>
  <c r="K29" i="3"/>
  <c r="F66" i="8"/>
  <c r="G66" i="8"/>
  <c r="F43" i="4"/>
  <c r="G43" i="4" s="1"/>
  <c r="F29" i="4"/>
  <c r="G29" i="4"/>
  <c r="F21" i="4"/>
  <c r="G21" i="4"/>
  <c r="F12" i="4"/>
  <c r="G12" i="4" s="1"/>
  <c r="F34" i="4"/>
  <c r="G34" i="4" s="1"/>
  <c r="G36" i="6"/>
  <c r="H36" i="6"/>
  <c r="G49" i="6"/>
  <c r="H49" i="6"/>
  <c r="G16" i="6"/>
  <c r="H16" i="6"/>
  <c r="G58" i="8"/>
  <c r="H23" i="7"/>
  <c r="I23" i="7"/>
  <c r="I33" i="9"/>
  <c r="F28" i="4"/>
  <c r="G28" i="4" s="1"/>
  <c r="F42" i="4"/>
  <c r="G42" i="4"/>
  <c r="G53" i="4"/>
  <c r="E53" i="4"/>
  <c r="F53" i="4" s="1"/>
  <c r="H63" i="1"/>
  <c r="H34" i="1"/>
  <c r="H20" i="1"/>
  <c r="I15" i="3"/>
  <c r="J15" i="3" s="1"/>
  <c r="K15" i="3"/>
  <c r="H31" i="3"/>
  <c r="I11" i="3"/>
  <c r="K11" i="3" s="1"/>
  <c r="E17" i="4"/>
  <c r="G17" i="4" s="1"/>
  <c r="E36" i="4"/>
  <c r="G36" i="4" s="1"/>
  <c r="E37" i="4"/>
  <c r="F37" i="4" s="1"/>
  <c r="G37" i="4"/>
  <c r="E59" i="4"/>
  <c r="F59" i="4" s="1"/>
  <c r="G59" i="4"/>
  <c r="G58" i="6"/>
  <c r="H58" i="6"/>
  <c r="H54" i="6"/>
  <c r="G31" i="6"/>
  <c r="H31" i="6"/>
  <c r="H48" i="6"/>
  <c r="E35" i="8"/>
  <c r="F35" i="8" s="1"/>
  <c r="E12" i="8"/>
  <c r="F12" i="8" s="1"/>
  <c r="G12" i="8" s="1"/>
  <c r="F54" i="4"/>
  <c r="G54" i="4" s="1"/>
  <c r="G40" i="6"/>
  <c r="H40" i="6"/>
  <c r="F37" i="8"/>
  <c r="G37" i="8" s="1"/>
  <c r="H32" i="1"/>
  <c r="H12" i="1"/>
  <c r="K27" i="2"/>
  <c r="G10" i="4"/>
  <c r="H28" i="6"/>
  <c r="G34" i="6"/>
  <c r="H34" i="6" s="1"/>
  <c r="E11" i="8"/>
  <c r="F11" i="8" s="1"/>
  <c r="F73" i="8" s="1"/>
  <c r="D73" i="8"/>
  <c r="G11" i="8"/>
  <c r="E36" i="8"/>
  <c r="F36" i="8" s="1"/>
  <c r="F57" i="8"/>
  <c r="G57" i="8"/>
  <c r="F31" i="8"/>
  <c r="G31" i="8"/>
  <c r="F65" i="8"/>
  <c r="G65" i="8"/>
  <c r="G49" i="4"/>
  <c r="F49" i="4"/>
  <c r="F48" i="4"/>
  <c r="G48" i="4" s="1"/>
  <c r="H9" i="7"/>
  <c r="I9" i="7"/>
  <c r="D72" i="1"/>
  <c r="H13" i="1"/>
  <c r="K13" i="3"/>
  <c r="F55" i="4"/>
  <c r="G55" i="4"/>
  <c r="F39" i="4"/>
  <c r="G39" i="4"/>
  <c r="F16" i="4"/>
  <c r="G16" i="4"/>
  <c r="F25" i="4"/>
  <c r="G25" i="4" s="1"/>
  <c r="F38" i="6"/>
  <c r="G38" i="6" s="1"/>
  <c r="H38" i="6"/>
  <c r="F22" i="8"/>
  <c r="G22" i="8"/>
  <c r="E62" i="8"/>
  <c r="F62" i="8" s="1"/>
  <c r="G62" i="8"/>
  <c r="E42" i="8"/>
  <c r="F42" i="8" s="1"/>
  <c r="G64" i="8"/>
  <c r="G19" i="8"/>
  <c r="F45" i="4"/>
  <c r="G45" i="4" s="1"/>
  <c r="F18" i="4"/>
  <c r="G18" i="4" s="1"/>
  <c r="F19" i="4"/>
  <c r="G19" i="4" s="1"/>
  <c r="E68" i="4"/>
  <c r="F68" i="4" s="1"/>
  <c r="G68" i="4"/>
  <c r="H29" i="1"/>
  <c r="E57" i="4"/>
  <c r="F57" i="4" s="1"/>
  <c r="G32" i="4"/>
  <c r="G40" i="4"/>
  <c r="F40" i="4"/>
  <c r="J27" i="3"/>
  <c r="K27" i="3"/>
  <c r="H29" i="6"/>
  <c r="H51" i="6"/>
  <c r="E38" i="8"/>
  <c r="F38" i="8" s="1"/>
  <c r="G38" i="8"/>
  <c r="F41" i="4"/>
  <c r="G41" i="4" s="1"/>
  <c r="F33" i="4"/>
  <c r="G33" i="4"/>
  <c r="E59" i="8"/>
  <c r="F59" i="8" s="1"/>
  <c r="G59" i="8"/>
  <c r="H39" i="1"/>
  <c r="H48" i="1"/>
  <c r="J25" i="3"/>
  <c r="K25" i="3"/>
  <c r="F20" i="4"/>
  <c r="G20" i="4"/>
  <c r="F56" i="4"/>
  <c r="G56" i="4"/>
  <c r="J9" i="3"/>
  <c r="K9" i="3"/>
  <c r="J23" i="3"/>
  <c r="K23" i="3" s="1"/>
  <c r="G8" i="4"/>
  <c r="H62" i="6"/>
  <c r="E72" i="6"/>
  <c r="I9" i="5"/>
  <c r="H32" i="5"/>
  <c r="G50" i="6"/>
  <c r="H50" i="6" s="1"/>
  <c r="G29" i="8"/>
  <c r="F21" i="8"/>
  <c r="G21" i="8"/>
  <c r="G55" i="8"/>
  <c r="F8" i="4"/>
  <c r="H46" i="6"/>
  <c r="H26" i="6"/>
  <c r="H69" i="6"/>
  <c r="H60" i="6"/>
  <c r="G8" i="8"/>
  <c r="G32" i="8"/>
  <c r="G51" i="8"/>
  <c r="E17" i="8"/>
  <c r="F17" i="8" s="1"/>
  <c r="G34" i="8"/>
  <c r="G45" i="8"/>
  <c r="E52" i="8"/>
  <c r="F52" i="8" s="1"/>
  <c r="G10" i="8"/>
  <c r="G27" i="7"/>
  <c r="H27" i="7" s="1"/>
  <c r="G60" i="8"/>
  <c r="E26" i="4"/>
  <c r="F26" i="4" s="1"/>
  <c r="F24" i="8"/>
  <c r="G24" i="8" s="1"/>
  <c r="G35" i="4"/>
  <c r="F67" i="4"/>
  <c r="H47" i="6"/>
  <c r="H8" i="6"/>
  <c r="H35" i="6"/>
  <c r="H37" i="6"/>
  <c r="G10" i="6"/>
  <c r="H10" i="6" s="1"/>
  <c r="I15" i="7"/>
  <c r="G68" i="8"/>
  <c r="G25" i="8"/>
  <c r="G44" i="8"/>
  <c r="I29" i="7"/>
  <c r="G39" i="8"/>
  <c r="E61" i="4"/>
  <c r="F61" i="4" s="1"/>
  <c r="E31" i="4"/>
  <c r="G31" i="4" s="1"/>
  <c r="G14" i="4"/>
  <c r="H32" i="6"/>
  <c r="H53" i="6"/>
  <c r="F70" i="6"/>
  <c r="G70" i="6" s="1"/>
  <c r="G54" i="8"/>
  <c r="G41" i="8"/>
  <c r="E47" i="4"/>
  <c r="F47" i="4" s="1"/>
  <c r="G13" i="4"/>
  <c r="D72" i="4"/>
  <c r="H63" i="6"/>
  <c r="H21" i="6"/>
  <c r="G67" i="8"/>
  <c r="G69" i="8"/>
  <c r="G16" i="8"/>
  <c r="I21" i="7"/>
  <c r="F58" i="8"/>
  <c r="H78" i="14"/>
  <c r="G47" i="4" l="1"/>
  <c r="G33" i="7"/>
  <c r="I34" i="7" s="1"/>
  <c r="G74" i="8"/>
  <c r="K31" i="2"/>
  <c r="G57" i="4"/>
  <c r="K32" i="2"/>
  <c r="F72" i="4"/>
  <c r="J9" i="5"/>
  <c r="I32" i="5"/>
  <c r="J31" i="3"/>
  <c r="I27" i="7"/>
  <c r="I33" i="7" s="1"/>
  <c r="H33" i="7"/>
  <c r="G35" i="8"/>
  <c r="I31" i="3"/>
  <c r="K31" i="3" s="1"/>
  <c r="G17" i="8"/>
  <c r="G73" i="8" s="1"/>
  <c r="G72" i="6"/>
  <c r="H70" i="6"/>
  <c r="G52" i="8"/>
  <c r="E73" i="8"/>
  <c r="E72" i="4"/>
  <c r="G73" i="4" s="1"/>
  <c r="F72" i="6"/>
  <c r="H73" i="6" s="1"/>
  <c r="G61" i="4"/>
  <c r="G42" i="8"/>
  <c r="G36" i="8"/>
  <c r="G26" i="4"/>
  <c r="G72" i="4" s="1"/>
  <c r="G72" i="1"/>
  <c r="H73" i="1" s="1"/>
  <c r="H40" i="1"/>
  <c r="H72" i="1" s="1"/>
  <c r="H72" i="6" l="1"/>
  <c r="K9" i="5"/>
  <c r="J32" i="5"/>
  <c r="K32" i="5" s="1"/>
  <c r="K33" i="5" l="1"/>
</calcChain>
</file>

<file path=xl/sharedStrings.xml><?xml version="1.0" encoding="utf-8"?>
<sst xmlns="http://schemas.openxmlformats.org/spreadsheetml/2006/main" count="1258" uniqueCount="161">
  <si>
    <t xml:space="preserve"> </t>
  </si>
  <si>
    <t>LODGERS TAX RECEIPTS FOR NM MUNICIPALITIES</t>
  </si>
  <si>
    <t>_</t>
  </si>
  <si>
    <t xml:space="preserve">  FIRST</t>
  </si>
  <si>
    <t xml:space="preserve"> SECOND</t>
  </si>
  <si>
    <t xml:space="preserve">  THIRD</t>
  </si>
  <si>
    <t xml:space="preserve">  FOURTH</t>
  </si>
  <si>
    <t xml:space="preserve">  QUARTER</t>
  </si>
  <si>
    <t xml:space="preserve"> QUARTER</t>
  </si>
  <si>
    <t>GRAND TOTAL</t>
  </si>
  <si>
    <t>MUNICIPALITY</t>
  </si>
  <si>
    <t xml:space="preserve"> (JULY-SEPT.)</t>
  </si>
  <si>
    <t xml:space="preserve"> (OCT.-DEC.)</t>
  </si>
  <si>
    <t xml:space="preserve">  (JAN.-MAR.)</t>
  </si>
  <si>
    <t xml:space="preserve">  (APR.-JUN.)</t>
  </si>
  <si>
    <t>(YEAR TO DATE)</t>
  </si>
  <si>
    <t>5%</t>
  </si>
  <si>
    <t>ALAMOGORDO</t>
  </si>
  <si>
    <t>ANGEL FIRE</t>
  </si>
  <si>
    <t>ARTESIA</t>
  </si>
  <si>
    <t>AZTEC</t>
  </si>
  <si>
    <t>BELEN</t>
  </si>
  <si>
    <t>3%</t>
  </si>
  <si>
    <t>BERNALILLO</t>
  </si>
  <si>
    <t>CARLSBAD</t>
  </si>
  <si>
    <t>CARRIZOZO</t>
  </si>
  <si>
    <t>CHAMA</t>
  </si>
  <si>
    <t>4%</t>
  </si>
  <si>
    <t>CIMARRON</t>
  </si>
  <si>
    <t>CLAYTON</t>
  </si>
  <si>
    <t>CLOVIS</t>
  </si>
  <si>
    <t>COLUMBUS</t>
  </si>
  <si>
    <t>CUBA</t>
  </si>
  <si>
    <t>EAGLE NEST</t>
  </si>
  <si>
    <t>ESPANOLA</t>
  </si>
  <si>
    <t>FARMINGTON</t>
  </si>
  <si>
    <t>FORT SUMNER</t>
  </si>
  <si>
    <t>GALLUP</t>
  </si>
  <si>
    <t>GRANTS</t>
  </si>
  <si>
    <t>HATCH</t>
  </si>
  <si>
    <t>HOBBS</t>
  </si>
  <si>
    <t>HURLEY</t>
  </si>
  <si>
    <t>JEMEZ SPRINGS</t>
  </si>
  <si>
    <t>LAS CRUCES</t>
  </si>
  <si>
    <t>LAS VEGAS</t>
  </si>
  <si>
    <t>LOGAN</t>
  </si>
  <si>
    <t>LORDSBURG</t>
  </si>
  <si>
    <t>LOS ALAMOS</t>
  </si>
  <si>
    <t>LOS LUNAS</t>
  </si>
  <si>
    <t>LOVINGTON</t>
  </si>
  <si>
    <t>MAGDALENA</t>
  </si>
  <si>
    <t>MILAN</t>
  </si>
  <si>
    <t>MORIARTY</t>
  </si>
  <si>
    <t>MOUNTAINAIR</t>
  </si>
  <si>
    <t>PORTALES</t>
  </si>
  <si>
    <t>RATON</t>
  </si>
  <si>
    <t>RED RIVER</t>
  </si>
  <si>
    <t>RIO RANCHO</t>
  </si>
  <si>
    <t>ROSWELL</t>
  </si>
  <si>
    <t>RUIDOSO</t>
  </si>
  <si>
    <t>RUIDOSO DOWNS</t>
  </si>
  <si>
    <t>SANTA ROSA</t>
  </si>
  <si>
    <t>SILVER CITY</t>
  </si>
  <si>
    <t>SOCORRO</t>
  </si>
  <si>
    <t>SPRINGER</t>
  </si>
  <si>
    <t>TAOS</t>
  </si>
  <si>
    <t>TAOS SKI VALLEY</t>
  </si>
  <si>
    <t>T  OR  C</t>
  </si>
  <si>
    <t>TUCUMCARI</t>
  </si>
  <si>
    <t>WILLIAMSBURG</t>
  </si>
  <si>
    <t>TOTAL</t>
  </si>
  <si>
    <t>MESILLA</t>
  </si>
  <si>
    <t>ELEPHANT BUTTE</t>
  </si>
  <si>
    <t>QUARTER</t>
  </si>
  <si>
    <t>CORRALES</t>
  </si>
  <si>
    <t>BLOOMFIELD</t>
  </si>
  <si>
    <t>CAPITAN</t>
  </si>
  <si>
    <t xml:space="preserve">CLOUDCROFT          </t>
  </si>
  <si>
    <t xml:space="preserve">ALBUQUERQUE         </t>
  </si>
  <si>
    <t xml:space="preserve">SANTA FE                    </t>
  </si>
  <si>
    <t xml:space="preserve">DEMING                             </t>
  </si>
  <si>
    <t>ALBQ Hospitality Fee Act  1</t>
  </si>
  <si>
    <t>VAUGHN</t>
  </si>
  <si>
    <t>REPORT:</t>
  </si>
  <si>
    <t>LODGER'S TAX RECEIPTS FOR NEW MEXICO COUNTIES</t>
  </si>
  <si>
    <t>COMPILED BY:</t>
  </si>
  <si>
    <t>INFORMATION SOURCE:</t>
  </si>
  <si>
    <t>FIRST</t>
  </si>
  <si>
    <t>SECOND</t>
  </si>
  <si>
    <t>THIRD</t>
  </si>
  <si>
    <t>FOURTH</t>
  </si>
  <si>
    <t>COUNTY</t>
  </si>
  <si>
    <t>(JULY-SEPT.)</t>
  </si>
  <si>
    <t>(OCT.-DEC.)</t>
  </si>
  <si>
    <t>(JAN-MAR)</t>
  </si>
  <si>
    <t>(APR.-JUN.)</t>
  </si>
  <si>
    <t>EDDY</t>
  </si>
  <si>
    <t>GRANT</t>
  </si>
  <si>
    <t>LINCOLN</t>
  </si>
  <si>
    <t>LUNA          (1)</t>
  </si>
  <si>
    <t>1</t>
  </si>
  <si>
    <t>RIO ARRIBA</t>
  </si>
  <si>
    <t>SANDOVAL</t>
  </si>
  <si>
    <t>SAN MIGUEL</t>
  </si>
  <si>
    <t>SANTA FE</t>
  </si>
  <si>
    <t>SIERRA</t>
  </si>
  <si>
    <t>TOTALS</t>
  </si>
  <si>
    <t>Remits to the City of Deming</t>
  </si>
  <si>
    <t>*</t>
  </si>
  <si>
    <t>* incomplete reports from lodgers</t>
  </si>
  <si>
    <t xml:space="preserve">DFA-LOCAL GOVERNMENT DIVISION </t>
  </si>
  <si>
    <t>2009-10 FISCAL YEAR LODGER'S TAX REPORTS</t>
  </si>
  <si>
    <t>DEPARTMENT OF FINANCE &amp; ADMINISTRATION-LOCAL GOVERNMENT DIVISION</t>
  </si>
  <si>
    <t>2009-2010 FISCAL YEAR COUNTY LODGER'S TAX QUARTERLY REPORTS</t>
  </si>
  <si>
    <t xml:space="preserve">Las Cruces Convention Ctr Fund </t>
  </si>
  <si>
    <t>2010-2011 FISCAL YEAR COUNTY LODGER'S TAX QUARTERLY REPORTS</t>
  </si>
  <si>
    <t>2010-11 FISCAL YEAR LODGER'S TAX REPORTS</t>
  </si>
  <si>
    <t>Qty**</t>
  </si>
  <si>
    <t>MESILLA ***</t>
  </si>
  <si>
    <t>2011-12 FISCAL YEAR LODGER'S TAX REPORTS</t>
  </si>
  <si>
    <t>2011-2012 FISCAL YEAR COUNTY LODGER'S TAX QUARTERLY REPORTS</t>
  </si>
  <si>
    <t>*Angel Fire did not report</t>
  </si>
  <si>
    <t xml:space="preserve">MESILLA </t>
  </si>
  <si>
    <t xml:space="preserve">It is not clear if Albuquerque initially reported $2,017,041. If they did not then this is a clerical oversight, which I corrected on 6/5/12 </t>
  </si>
  <si>
    <t xml:space="preserve">with an entry of $1,533,462, as reported in Albuquerque's 3rd quarter report. </t>
  </si>
  <si>
    <t>2012-2013 FISCAL YEAR COUNTY LODGER'S TAX QUARTERLY REPORTS</t>
  </si>
  <si>
    <t>2012-13 FISCAL YEAR LODGER'S TAX REPORTS</t>
  </si>
  <si>
    <t>Tom Dixon</t>
  </si>
  <si>
    <t>County Provided</t>
  </si>
  <si>
    <t>Fiscal Year 2012</t>
  </si>
  <si>
    <t>2nd quarter 2731028-1602057=1128971</t>
  </si>
  <si>
    <t>2nd quarter  2048271-1201543=846728</t>
  </si>
  <si>
    <t>RESERVE</t>
  </si>
  <si>
    <t>SPRINGER*</t>
  </si>
  <si>
    <t>SOCORRO COUNTY</t>
  </si>
  <si>
    <t>Socorro County</t>
  </si>
  <si>
    <t xml:space="preserve">Magdalena has been unable to collect from one hotel and is seeking liens on hotels. </t>
  </si>
  <si>
    <t>Magdalena reported a late report additional 253 from one of two mostly non compliant hotels, so for now the 4th quarter for Magdalena is $253.</t>
  </si>
  <si>
    <t>COMPILED BY: Tom Dixon</t>
  </si>
  <si>
    <t>INFORMATION SOURCE: Local Public Body Listed</t>
  </si>
  <si>
    <t>2013-14 FISCAL YEAR LODGER'S TAX REPORTS</t>
  </si>
  <si>
    <t>2013-2014 FISCAL YEAR COUNTY LODGER'S TAX QUARTERLY REPORTS</t>
  </si>
  <si>
    <t>GRANT*</t>
  </si>
  <si>
    <t>*Grant County may have erroneously reported the 2nd quarter in the 3rd.</t>
  </si>
  <si>
    <t>Mountainaire has potentially reported the 2nd quarter in the 3rd. Inquiry was made but they 'didn't understand why it was the same'. (paraphrased)</t>
  </si>
  <si>
    <t>No Report</t>
  </si>
  <si>
    <t xml:space="preserve">SF Convention Ctr Fund Act  </t>
  </si>
  <si>
    <t xml:space="preserve">ALBQ Hospitality Fee Act  </t>
  </si>
  <si>
    <t>Las Cruces Convention Ctr Financing</t>
  </si>
  <si>
    <t>Clovis audit in 2014 covered the calendar year 2013, (i.e. last 2 qtrs of FY 13 and first 2 qtrs of FY 14), and understatements were found</t>
  </si>
  <si>
    <t xml:space="preserve"> and corrections made above. </t>
  </si>
  <si>
    <t>Roswell Convention Center Financing</t>
  </si>
  <si>
    <t>Farmington Convention Center Financing</t>
  </si>
  <si>
    <t>T or C Convention Center Funding</t>
  </si>
  <si>
    <t>Lodgers Tax Rate</t>
  </si>
  <si>
    <t>DEPARTMENT OF FINANCE &amp; ADMINISTRATION, LOCAL GOVERNMENT DIVISION</t>
  </si>
  <si>
    <t xml:space="preserve">Lodgers Tax Rates, etc. </t>
  </si>
  <si>
    <t xml:space="preserve">*Hotel closed in October 2014, reports still filed. </t>
  </si>
  <si>
    <t xml:space="preserve">Sunland Park </t>
  </si>
  <si>
    <r>
      <rPr>
        <sz val="11"/>
        <color rgb="FF0000FF"/>
        <rFont val="Arial"/>
        <family val="2"/>
      </rPr>
      <t xml:space="preserve">2021 </t>
    </r>
    <r>
      <rPr>
        <sz val="11"/>
        <rFont val="Arial"/>
        <family val="2"/>
      </rPr>
      <t>FISCAL YEAR LODGER'S TAX REPORTS</t>
    </r>
  </si>
  <si>
    <r>
      <t xml:space="preserve">Fiscal Year </t>
    </r>
    <r>
      <rPr>
        <b/>
        <sz val="12"/>
        <color rgb="FF0000FF"/>
        <rFont val="Arial"/>
        <family val="2"/>
      </rPr>
      <t>2021</t>
    </r>
    <r>
      <rPr>
        <b/>
        <sz val="12"/>
        <rFont val="Arial"/>
        <family val="2"/>
      </rPr>
      <t xml:space="preserve"> LODGER'S TAX QUARTERLY REPORTS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</si>
</sst>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dd\-mmm\-yy_)"/>
  </numFmts>
  <fonts count="27">
    <font>
      <sz val="12"/>
      <name val="SWISS"/>
    </font>
    <font>
      <sz val="12"/>
      <name val="Arial"/>
      <family val="2"/>
    </font>
    <font>
      <b/>
      <sz val="12"/>
      <name val="Arial"/>
      <family val="2"/>
    </font>
    <font>
      <sz val="8"/>
      <name val="SWISS"/>
    </font>
    <font>
      <sz val="10"/>
      <name val="Arial"/>
      <family val="2"/>
    </font>
    <font>
      <b/>
      <sz val="13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2"/>
      <name val="SWISS"/>
    </font>
    <font>
      <b/>
      <u/>
      <sz val="13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name val="SWISS"/>
    </font>
    <font>
      <b/>
      <sz val="13"/>
      <color theme="1"/>
      <name val="Arial"/>
      <family val="2"/>
    </font>
    <font>
      <b/>
      <sz val="11"/>
      <name val="SWISS"/>
    </font>
    <font>
      <b/>
      <sz val="2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2"/>
      <color rgb="FF0000FF"/>
      <name val="Arial"/>
      <family val="2"/>
    </font>
    <font>
      <sz val="11"/>
      <color rgb="FF0000FF"/>
      <name val="Arial"/>
      <family val="2"/>
    </font>
    <font>
      <sz val="12"/>
      <name val="Arial"/>
      <family val="2"/>
    </font>
    <font>
      <sz val="12"/>
      <color rgb="FFFF0000"/>
      <name val="SWISS"/>
    </font>
    <font>
      <b/>
      <sz val="12"/>
      <color theme="4"/>
      <name val="SWISS"/>
    </font>
    <font>
      <b/>
      <sz val="12"/>
      <color rgb="FFFF0000"/>
      <name val="SWISS"/>
    </font>
  </fonts>
  <fills count="6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9"/>
        <bgColor indexed="9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double">
        <color indexed="64"/>
      </bottom>
      <diagonal/>
    </border>
    <border>
      <left style="thin">
        <color indexed="8"/>
      </left>
      <right/>
      <top style="double">
        <color indexed="8"/>
      </top>
      <bottom/>
      <diagonal/>
    </border>
    <border>
      <left/>
      <right/>
      <top/>
      <bottom style="thin">
        <color indexed="63"/>
      </bottom>
      <diagonal/>
    </border>
    <border>
      <left/>
      <right style="thin">
        <color indexed="63"/>
      </right>
      <top/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8">
    <xf numFmtId="37" fontId="0" fillId="2" borderId="0"/>
    <xf numFmtId="0" fontId="1" fillId="0" borderId="0"/>
    <xf numFmtId="0" fontId="16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37" fontId="17" fillId="2" borderId="0"/>
    <xf numFmtId="37" fontId="23" fillId="2" borderId="0"/>
    <xf numFmtId="9" fontId="23" fillId="0" borderId="0" applyFont="0" applyFill="0" applyBorder="0" applyAlignment="0" applyProtection="0"/>
  </cellStyleXfs>
  <cellXfs count="201">
    <xf numFmtId="37" fontId="0" fillId="2" borderId="0" xfId="0"/>
    <xf numFmtId="37" fontId="1" fillId="2" borderId="1" xfId="0" applyFont="1" applyBorder="1"/>
    <xf numFmtId="37" fontId="1" fillId="2" borderId="2" xfId="0" applyFont="1" applyBorder="1"/>
    <xf numFmtId="165" fontId="1" fillId="2" borderId="3" xfId="0" applyNumberFormat="1" applyFont="1" applyBorder="1"/>
    <xf numFmtId="37" fontId="1" fillId="2" borderId="0" xfId="0" applyFont="1"/>
    <xf numFmtId="37" fontId="1" fillId="2" borderId="4" xfId="0" applyFont="1" applyBorder="1"/>
    <xf numFmtId="37" fontId="1" fillId="2" borderId="5" xfId="0" applyFont="1" applyBorder="1"/>
    <xf numFmtId="37" fontId="4" fillId="2" borderId="1" xfId="0" applyFont="1" applyBorder="1"/>
    <xf numFmtId="37" fontId="4" fillId="2" borderId="2" xfId="0" applyFont="1" applyBorder="1"/>
    <xf numFmtId="37" fontId="4" fillId="2" borderId="3" xfId="0" applyFont="1" applyBorder="1"/>
    <xf numFmtId="37" fontId="4" fillId="2" borderId="4" xfId="0" applyFont="1" applyBorder="1"/>
    <xf numFmtId="37" fontId="4" fillId="2" borderId="0" xfId="0" applyFont="1"/>
    <xf numFmtId="37" fontId="4" fillId="2" borderId="0" xfId="0" applyFont="1" applyAlignment="1">
      <alignment horizontal="center"/>
    </xf>
    <xf numFmtId="37" fontId="4" fillId="2" borderId="5" xfId="0" applyFont="1" applyBorder="1"/>
    <xf numFmtId="37" fontId="4" fillId="2" borderId="5" xfId="0" applyFont="1" applyBorder="1" applyAlignment="1">
      <alignment horizontal="center"/>
    </xf>
    <xf numFmtId="37" fontId="1" fillId="2" borderId="0" xfId="0" applyFont="1" applyAlignment="1">
      <alignment horizontal="center"/>
    </xf>
    <xf numFmtId="37" fontId="1" fillId="2" borderId="3" xfId="0" applyFont="1" applyBorder="1"/>
    <xf numFmtId="37" fontId="5" fillId="2" borderId="6" xfId="0" applyFont="1" applyBorder="1" applyAlignment="1">
      <alignment horizontal="center"/>
    </xf>
    <xf numFmtId="37" fontId="5" fillId="2" borderId="7" xfId="0" applyFont="1" applyBorder="1"/>
    <xf numFmtId="37" fontId="5" fillId="2" borderId="8" xfId="0" applyFont="1" applyBorder="1"/>
    <xf numFmtId="37" fontId="5" fillId="2" borderId="4" xfId="0" applyFont="1" applyBorder="1"/>
    <xf numFmtId="37" fontId="5" fillId="2" borderId="0" xfId="0" applyFont="1"/>
    <xf numFmtId="37" fontId="5" fillId="2" borderId="5" xfId="0" applyFont="1" applyBorder="1"/>
    <xf numFmtId="9" fontId="5" fillId="2" borderId="6" xfId="0" applyNumberFormat="1" applyFont="1" applyBorder="1" applyAlignment="1">
      <alignment horizontal="center"/>
    </xf>
    <xf numFmtId="37" fontId="5" fillId="2" borderId="8" xfId="0" applyFont="1" applyBorder="1" applyAlignment="1">
      <alignment horizontal="right"/>
    </xf>
    <xf numFmtId="9" fontId="5" fillId="2" borderId="6" xfId="0" applyNumberFormat="1" applyFont="1" applyBorder="1"/>
    <xf numFmtId="37" fontId="5" fillId="2" borderId="2" xfId="0" applyFont="1" applyBorder="1"/>
    <xf numFmtId="37" fontId="5" fillId="2" borderId="9" xfId="0" applyFont="1" applyBorder="1"/>
    <xf numFmtId="37" fontId="5" fillId="2" borderId="10" xfId="0" applyFont="1" applyBorder="1"/>
    <xf numFmtId="37" fontId="5" fillId="2" borderId="11" xfId="0" applyFont="1" applyBorder="1"/>
    <xf numFmtId="37" fontId="6" fillId="2" borderId="0" xfId="0" applyFont="1"/>
    <xf numFmtId="37" fontId="2" fillId="2" borderId="4" xfId="0" applyFont="1" applyBorder="1"/>
    <xf numFmtId="37" fontId="7" fillId="2" borderId="0" xfId="0" applyFont="1" applyAlignment="1">
      <alignment horizontal="right"/>
    </xf>
    <xf numFmtId="37" fontId="8" fillId="2" borderId="4" xfId="0" applyFont="1" applyBorder="1"/>
    <xf numFmtId="37" fontId="0" fillId="2" borderId="6" xfId="0" applyBorder="1"/>
    <xf numFmtId="37" fontId="0" fillId="2" borderId="7" xfId="0" applyBorder="1"/>
    <xf numFmtId="37" fontId="0" fillId="2" borderId="8" xfId="0" applyBorder="1"/>
    <xf numFmtId="37" fontId="8" fillId="2" borderId="0" xfId="0" applyFont="1"/>
    <xf numFmtId="9" fontId="9" fillId="2" borderId="12" xfId="0" applyNumberFormat="1" applyFont="1" applyBorder="1"/>
    <xf numFmtId="37" fontId="9" fillId="2" borderId="13" xfId="0" applyFont="1" applyBorder="1"/>
    <xf numFmtId="37" fontId="9" fillId="2" borderId="14" xfId="0" applyFont="1" applyBorder="1"/>
    <xf numFmtId="37" fontId="1" fillId="2" borderId="13" xfId="0" applyFont="1" applyBorder="1"/>
    <xf numFmtId="37" fontId="0" fillId="2" borderId="13" xfId="0" applyBorder="1"/>
    <xf numFmtId="37" fontId="5" fillId="2" borderId="13" xfId="0" applyFont="1" applyBorder="1"/>
    <xf numFmtId="37" fontId="0" fillId="2" borderId="0" xfId="0" applyAlignment="1">
      <alignment horizontal="center"/>
    </xf>
    <xf numFmtId="37" fontId="10" fillId="2" borderId="1" xfId="0" applyFont="1" applyBorder="1"/>
    <xf numFmtId="37" fontId="10" fillId="2" borderId="2" xfId="0" applyFont="1" applyBorder="1"/>
    <xf numFmtId="37" fontId="10" fillId="2" borderId="0" xfId="0" applyFont="1"/>
    <xf numFmtId="37" fontId="10" fillId="2" borderId="4" xfId="0" applyFont="1" applyBorder="1"/>
    <xf numFmtId="37" fontId="10" fillId="2" borderId="5" xfId="0" applyFont="1" applyBorder="1"/>
    <xf numFmtId="37" fontId="10" fillId="2" borderId="3" xfId="0" applyFont="1" applyBorder="1"/>
    <xf numFmtId="37" fontId="10" fillId="2" borderId="0" xfId="0" quotePrefix="1" applyFont="1"/>
    <xf numFmtId="37" fontId="10" fillId="2" borderId="17" xfId="0" applyFont="1" applyBorder="1"/>
    <xf numFmtId="37" fontId="11" fillId="2" borderId="18" xfId="0" applyFont="1" applyBorder="1"/>
    <xf numFmtId="37" fontId="10" fillId="2" borderId="19" xfId="0" applyFont="1" applyBorder="1"/>
    <xf numFmtId="37" fontId="12" fillId="2" borderId="0" xfId="0" applyFont="1"/>
    <xf numFmtId="37" fontId="4" fillId="2" borderId="20" xfId="0" applyFont="1" applyBorder="1"/>
    <xf numFmtId="37" fontId="4" fillId="2" borderId="21" xfId="0" applyFont="1" applyBorder="1" applyAlignment="1">
      <alignment horizontal="center"/>
    </xf>
    <xf numFmtId="37" fontId="1" fillId="2" borderId="22" xfId="0" applyFont="1" applyBorder="1"/>
    <xf numFmtId="37" fontId="5" fillId="2" borderId="23" xfId="0" applyFont="1" applyBorder="1"/>
    <xf numFmtId="37" fontId="5" fillId="2" borderId="21" xfId="0" applyFont="1" applyBorder="1"/>
    <xf numFmtId="37" fontId="5" fillId="2" borderId="22" xfId="0" applyFont="1" applyBorder="1"/>
    <xf numFmtId="37" fontId="5" fillId="2" borderId="24" xfId="0" applyFont="1" applyBorder="1"/>
    <xf numFmtId="37" fontId="1" fillId="2" borderId="20" xfId="0" applyFont="1" applyBorder="1"/>
    <xf numFmtId="37" fontId="5" fillId="0" borderId="21" xfId="0" applyFont="1" applyFill="1" applyBorder="1"/>
    <xf numFmtId="37" fontId="5" fillId="0" borderId="23" xfId="0" applyFont="1" applyFill="1" applyBorder="1"/>
    <xf numFmtId="37" fontId="11" fillId="2" borderId="25" xfId="0" applyFont="1" applyBorder="1"/>
    <xf numFmtId="37" fontId="8" fillId="2" borderId="24" xfId="0" applyFont="1" applyBorder="1"/>
    <xf numFmtId="37" fontId="10" fillId="2" borderId="12" xfId="0" applyFont="1" applyBorder="1"/>
    <xf numFmtId="37" fontId="10" fillId="2" borderId="12" xfId="0" applyFont="1" applyBorder="1" applyAlignment="1">
      <alignment horizontal="fill"/>
    </xf>
    <xf numFmtId="37" fontId="10" fillId="2" borderId="13" xfId="0" applyFont="1" applyBorder="1" applyAlignment="1">
      <alignment horizontal="fill"/>
    </xf>
    <xf numFmtId="37" fontId="10" fillId="2" borderId="31" xfId="0" applyFont="1" applyBorder="1" applyAlignment="1">
      <alignment horizontal="fill"/>
    </xf>
    <xf numFmtId="37" fontId="11" fillId="2" borderId="0" xfId="0" applyFont="1"/>
    <xf numFmtId="15" fontId="10" fillId="2" borderId="3" xfId="0" applyNumberFormat="1" applyFont="1" applyBorder="1"/>
    <xf numFmtId="37" fontId="10" fillId="2" borderId="27" xfId="0" applyFont="1" applyBorder="1"/>
    <xf numFmtId="37" fontId="10" fillId="2" borderId="27" xfId="0" applyFont="1" applyBorder="1" applyAlignment="1">
      <alignment horizontal="center"/>
    </xf>
    <xf numFmtId="37" fontId="10" fillId="2" borderId="28" xfId="0" applyFont="1" applyBorder="1"/>
    <xf numFmtId="37" fontId="10" fillId="2" borderId="28" xfId="0" applyFont="1" applyBorder="1" applyAlignment="1">
      <alignment horizontal="center"/>
    </xf>
    <xf numFmtId="37" fontId="10" fillId="2" borderId="24" xfId="0" applyFont="1" applyBorder="1"/>
    <xf numFmtId="37" fontId="10" fillId="2" borderId="29" xfId="0" applyFont="1" applyBorder="1" applyAlignment="1">
      <alignment horizontal="center"/>
    </xf>
    <xf numFmtId="37" fontId="10" fillId="2" borderId="24" xfId="0" applyFont="1" applyBorder="1" applyAlignment="1">
      <alignment horizontal="center"/>
    </xf>
    <xf numFmtId="37" fontId="10" fillId="2" borderId="30" xfId="0" applyFont="1" applyBorder="1" applyAlignment="1">
      <alignment horizontal="center"/>
    </xf>
    <xf numFmtId="37" fontId="11" fillId="2" borderId="6" xfId="0" applyFont="1" applyBorder="1" applyAlignment="1">
      <alignment horizontal="center"/>
    </xf>
    <xf numFmtId="37" fontId="11" fillId="2" borderId="13" xfId="0" applyFont="1" applyBorder="1"/>
    <xf numFmtId="37" fontId="11" fillId="2" borderId="32" xfId="0" applyFont="1" applyBorder="1"/>
    <xf numFmtId="37" fontId="11" fillId="2" borderId="7" xfId="0" applyFont="1" applyBorder="1"/>
    <xf numFmtId="37" fontId="11" fillId="2" borderId="15" xfId="0" applyFont="1" applyBorder="1"/>
    <xf numFmtId="9" fontId="11" fillId="2" borderId="6" xfId="0" applyNumberFormat="1" applyFont="1" applyBorder="1" applyAlignment="1">
      <alignment horizontal="center"/>
    </xf>
    <xf numFmtId="37" fontId="11" fillId="0" borderId="6" xfId="0" applyFont="1" applyFill="1" applyBorder="1"/>
    <xf numFmtId="37" fontId="11" fillId="0" borderId="7" xfId="0" applyFont="1" applyFill="1" applyBorder="1"/>
    <xf numFmtId="37" fontId="11" fillId="2" borderId="26" xfId="0" applyFont="1" applyBorder="1"/>
    <xf numFmtId="37" fontId="11" fillId="0" borderId="0" xfId="0" applyFont="1" applyFill="1"/>
    <xf numFmtId="37" fontId="11" fillId="2" borderId="6" xfId="0" applyFont="1" applyBorder="1"/>
    <xf numFmtId="164" fontId="11" fillId="2" borderId="6" xfId="0" applyNumberFormat="1" applyFont="1" applyBorder="1" applyAlignment="1">
      <alignment horizontal="center"/>
    </xf>
    <xf numFmtId="37" fontId="11" fillId="2" borderId="6" xfId="0" quotePrefix="1" applyFont="1" applyBorder="1" applyAlignment="1">
      <alignment horizontal="center"/>
    </xf>
    <xf numFmtId="37" fontId="11" fillId="2" borderId="8" xfId="0" applyFont="1" applyBorder="1"/>
    <xf numFmtId="10" fontId="11" fillId="2" borderId="6" xfId="0" quotePrefix="1" applyNumberFormat="1" applyFont="1" applyBorder="1" applyAlignment="1">
      <alignment horizontal="center"/>
    </xf>
    <xf numFmtId="9" fontId="11" fillId="2" borderId="7" xfId="0" applyNumberFormat="1" applyFont="1" applyBorder="1"/>
    <xf numFmtId="37" fontId="11" fillId="2" borderId="10" xfId="0" applyFont="1" applyBorder="1"/>
    <xf numFmtId="37" fontId="11" fillId="2" borderId="16" xfId="0" applyFont="1" applyBorder="1"/>
    <xf numFmtId="37" fontId="11" fillId="2" borderId="11" xfId="0" applyFont="1" applyBorder="1"/>
    <xf numFmtId="37" fontId="11" fillId="2" borderId="4" xfId="0" applyFont="1" applyBorder="1"/>
    <xf numFmtId="37" fontId="14" fillId="2" borderId="0" xfId="0" applyFont="1"/>
    <xf numFmtId="37" fontId="5" fillId="0" borderId="24" xfId="0" applyFont="1" applyFill="1" applyBorder="1"/>
    <xf numFmtId="37" fontId="5" fillId="2" borderId="33" xfId="0" applyFont="1" applyBorder="1"/>
    <xf numFmtId="37" fontId="5" fillId="0" borderId="22" xfId="0" applyFont="1" applyFill="1" applyBorder="1"/>
    <xf numFmtId="37" fontId="13" fillId="0" borderId="23" xfId="0" applyFont="1" applyFill="1" applyBorder="1"/>
    <xf numFmtId="37" fontId="8" fillId="2" borderId="29" xfId="0" applyFont="1" applyBorder="1"/>
    <xf numFmtId="37" fontId="5" fillId="0" borderId="0" xfId="0" applyFont="1" applyFill="1"/>
    <xf numFmtId="37" fontId="11" fillId="2" borderId="7" xfId="0" applyFont="1" applyBorder="1" applyProtection="1">
      <protection locked="0"/>
    </xf>
    <xf numFmtId="3" fontId="2" fillId="3" borderId="34" xfId="1" applyNumberFormat="1" applyFont="1" applyFill="1" applyBorder="1"/>
    <xf numFmtId="37" fontId="11" fillId="0" borderId="32" xfId="0" applyFont="1" applyFill="1" applyBorder="1"/>
    <xf numFmtId="37" fontId="5" fillId="2" borderId="34" xfId="0" applyFont="1" applyBorder="1"/>
    <xf numFmtId="37" fontId="5" fillId="0" borderId="34" xfId="0" applyFont="1" applyFill="1" applyBorder="1"/>
    <xf numFmtId="37" fontId="11" fillId="5" borderId="32" xfId="0" applyFont="1" applyFill="1" applyBorder="1"/>
    <xf numFmtId="37" fontId="5" fillId="5" borderId="23" xfId="0" applyFont="1" applyFill="1" applyBorder="1"/>
    <xf numFmtId="37" fontId="4" fillId="2" borderId="20" xfId="0" applyFont="1" applyBorder="1" applyAlignment="1">
      <alignment horizontal="center"/>
    </xf>
    <xf numFmtId="37" fontId="0" fillId="2" borderId="21" xfId="0" applyBorder="1"/>
    <xf numFmtId="37" fontId="0" fillId="2" borderId="24" xfId="0" applyBorder="1"/>
    <xf numFmtId="37" fontId="4" fillId="2" borderId="21" xfId="0" applyFont="1" applyBorder="1"/>
    <xf numFmtId="37" fontId="5" fillId="2" borderId="7" xfId="0" applyFont="1" applyBorder="1" applyAlignment="1">
      <alignment horizontal="right"/>
    </xf>
    <xf numFmtId="37" fontId="5" fillId="2" borderId="31" xfId="0" applyFont="1" applyBorder="1"/>
    <xf numFmtId="37" fontId="0" fillId="2" borderId="4" xfId="0" applyBorder="1"/>
    <xf numFmtId="37" fontId="5" fillId="2" borderId="4" xfId="0" applyFont="1" applyBorder="1" applyAlignment="1">
      <alignment horizontal="center"/>
    </xf>
    <xf numFmtId="9" fontId="5" fillId="2" borderId="12" xfId="0" applyNumberFormat="1" applyFont="1" applyBorder="1" applyAlignment="1">
      <alignment horizontal="center"/>
    </xf>
    <xf numFmtId="37" fontId="4" fillId="2" borderId="24" xfId="0" applyFont="1" applyBorder="1" applyAlignment="1">
      <alignment horizontal="center"/>
    </xf>
    <xf numFmtId="37" fontId="0" fillId="2" borderId="35" xfId="0" applyBorder="1"/>
    <xf numFmtId="37" fontId="0" fillId="2" borderId="20" xfId="0" applyBorder="1"/>
    <xf numFmtId="37" fontId="11" fillId="2" borderId="36" xfId="0" applyFont="1" applyBorder="1"/>
    <xf numFmtId="37" fontId="11" fillId="2" borderId="31" xfId="0" applyFont="1" applyBorder="1"/>
    <xf numFmtId="9" fontId="11" fillId="0" borderId="6" xfId="0" applyNumberFormat="1" applyFont="1" applyFill="1" applyBorder="1" applyAlignment="1">
      <alignment horizontal="center"/>
    </xf>
    <xf numFmtId="37" fontId="10" fillId="0" borderId="0" xfId="0" applyFont="1" applyFill="1"/>
    <xf numFmtId="37" fontId="0" fillId="0" borderId="35" xfId="0" applyFill="1" applyBorder="1"/>
    <xf numFmtId="37" fontId="0" fillId="0" borderId="24" xfId="0" applyFill="1" applyBorder="1"/>
    <xf numFmtId="37" fontId="1" fillId="2" borderId="1" xfId="0" applyFont="1" applyBorder="1" applyAlignment="1">
      <alignment horizontal="right"/>
    </xf>
    <xf numFmtId="37" fontId="10" fillId="0" borderId="29" xfId="0" applyFont="1" applyFill="1" applyBorder="1" applyAlignment="1">
      <alignment horizontal="center"/>
    </xf>
    <xf numFmtId="37" fontId="10" fillId="0" borderId="24" xfId="0" applyFont="1" applyFill="1" applyBorder="1" applyAlignment="1">
      <alignment horizontal="center"/>
    </xf>
    <xf numFmtId="37" fontId="10" fillId="0" borderId="27" xfId="0" applyFont="1" applyFill="1" applyBorder="1" applyAlignment="1">
      <alignment horizontal="center"/>
    </xf>
    <xf numFmtId="37" fontId="15" fillId="2" borderId="7" xfId="0" applyFont="1" applyBorder="1"/>
    <xf numFmtId="37" fontId="0" fillId="0" borderId="0" xfId="0" applyFill="1"/>
    <xf numFmtId="37" fontId="11" fillId="0" borderId="15" xfId="0" applyFont="1" applyFill="1" applyBorder="1"/>
    <xf numFmtId="37" fontId="11" fillId="4" borderId="32" xfId="0" applyFont="1" applyFill="1" applyBorder="1"/>
    <xf numFmtId="37" fontId="10" fillId="0" borderId="2" xfId="0" applyFont="1" applyFill="1" applyBorder="1"/>
    <xf numFmtId="37" fontId="11" fillId="4" borderId="4" xfId="0" applyFont="1" applyFill="1" applyBorder="1"/>
    <xf numFmtId="37" fontId="11" fillId="4" borderId="0" xfId="0" applyFont="1" applyFill="1"/>
    <xf numFmtId="37" fontId="10" fillId="2" borderId="13" xfId="0" applyFont="1" applyBorder="1"/>
    <xf numFmtId="37" fontId="18" fillId="2" borderId="36" xfId="0" applyFont="1" applyBorder="1"/>
    <xf numFmtId="44" fontId="11" fillId="2" borderId="6" xfId="0" applyNumberFormat="1" applyFont="1" applyBorder="1" applyAlignment="1">
      <alignment horizontal="left"/>
    </xf>
    <xf numFmtId="37" fontId="10" fillId="2" borderId="0" xfId="0" applyFont="1" applyAlignment="1">
      <alignment horizontal="fill"/>
    </xf>
    <xf numFmtId="37" fontId="10" fillId="2" borderId="21" xfId="0" applyFont="1" applyBorder="1" applyAlignment="1">
      <alignment horizontal="center"/>
    </xf>
    <xf numFmtId="37" fontId="10" fillId="0" borderId="21" xfId="0" applyFont="1" applyFill="1" applyBorder="1" applyAlignment="1">
      <alignment horizontal="center"/>
    </xf>
    <xf numFmtId="37" fontId="5" fillId="2" borderId="12" xfId="0" applyFont="1" applyBorder="1"/>
    <xf numFmtId="37" fontId="2" fillId="2" borderId="0" xfId="0" applyFont="1"/>
    <xf numFmtId="37" fontId="0" fillId="2" borderId="39" xfId="0" applyBorder="1"/>
    <xf numFmtId="37" fontId="7" fillId="2" borderId="4" xfId="0" applyFont="1" applyBorder="1" applyAlignment="1">
      <alignment horizontal="center"/>
    </xf>
    <xf numFmtId="37" fontId="2" fillId="2" borderId="2" xfId="0" applyFont="1" applyBorder="1"/>
    <xf numFmtId="37" fontId="20" fillId="2" borderId="0" xfId="0" applyFont="1" applyAlignment="1">
      <alignment horizontal="left"/>
    </xf>
    <xf numFmtId="37" fontId="0" fillId="2" borderId="31" xfId="0" applyBorder="1"/>
    <xf numFmtId="37" fontId="0" fillId="2" borderId="40" xfId="0" applyBorder="1"/>
    <xf numFmtId="37" fontId="2" fillId="2" borderId="2" xfId="0" applyFont="1" applyBorder="1" applyAlignment="1">
      <alignment horizontal="right"/>
    </xf>
    <xf numFmtId="37" fontId="20" fillId="2" borderId="4" xfId="0" applyFont="1" applyBorder="1"/>
    <xf numFmtId="37" fontId="10" fillId="2" borderId="27" xfId="0" applyFont="1" applyBorder="1" applyAlignment="1">
      <alignment horizontal="fill"/>
    </xf>
    <xf numFmtId="37" fontId="5" fillId="0" borderId="7" xfId="0" applyFont="1" applyFill="1" applyBorder="1"/>
    <xf numFmtId="37" fontId="0" fillId="2" borderId="42" xfId="0" applyBorder="1"/>
    <xf numFmtId="37" fontId="0" fillId="2" borderId="29" xfId="0" applyBorder="1"/>
    <xf numFmtId="37" fontId="10" fillId="2" borderId="0" xfId="0" applyFont="1" applyAlignment="1">
      <alignment horizontal="center"/>
    </xf>
    <xf numFmtId="44" fontId="11" fillId="0" borderId="6" xfId="0" applyNumberFormat="1" applyFont="1" applyFill="1" applyBorder="1" applyAlignment="1">
      <alignment horizontal="left"/>
    </xf>
    <xf numFmtId="37" fontId="11" fillId="0" borderId="6" xfId="0" applyFont="1" applyFill="1" applyBorder="1" applyAlignment="1">
      <alignment horizontal="center"/>
    </xf>
    <xf numFmtId="37" fontId="25" fillId="0" borderId="24" xfId="0" applyFont="1" applyFill="1" applyBorder="1"/>
    <xf numFmtId="37" fontId="25" fillId="0" borderId="21" xfId="0" applyFont="1" applyFill="1" applyBorder="1"/>
    <xf numFmtId="37" fontId="25" fillId="0" borderId="20" xfId="0" applyFont="1" applyFill="1" applyBorder="1"/>
    <xf numFmtId="37" fontId="8" fillId="0" borderId="24" xfId="0" applyFont="1" applyFill="1" applyBorder="1"/>
    <xf numFmtId="37" fontId="8" fillId="0" borderId="20" xfId="0" applyFont="1" applyFill="1" applyBorder="1"/>
    <xf numFmtId="37" fontId="8" fillId="2" borderId="20" xfId="0" applyFont="1" applyBorder="1"/>
    <xf numFmtId="37" fontId="8" fillId="2" borderId="21" xfId="0" applyFont="1" applyBorder="1"/>
    <xf numFmtId="37" fontId="11" fillId="0" borderId="36" xfId="0" applyFont="1" applyFill="1" applyBorder="1"/>
    <xf numFmtId="164" fontId="11" fillId="0" borderId="6" xfId="0" applyNumberFormat="1" applyFont="1" applyFill="1" applyBorder="1" applyAlignment="1">
      <alignment horizontal="center"/>
    </xf>
    <xf numFmtId="37" fontId="11" fillId="0" borderId="6" xfId="0" quotePrefix="1" applyFont="1" applyFill="1" applyBorder="1" applyAlignment="1">
      <alignment horizontal="center"/>
    </xf>
    <xf numFmtId="44" fontId="11" fillId="0" borderId="6" xfId="0" applyNumberFormat="1" applyFont="1" applyFill="1" applyBorder="1" applyAlignment="1">
      <alignment horizontal="center"/>
    </xf>
    <xf numFmtId="10" fontId="11" fillId="0" borderId="6" xfId="0" quotePrefix="1" applyNumberFormat="1" applyFont="1" applyFill="1" applyBorder="1" applyAlignment="1">
      <alignment horizontal="center"/>
    </xf>
    <xf numFmtId="9" fontId="11" fillId="0" borderId="7" xfId="0" applyNumberFormat="1" applyFont="1" applyFill="1" applyBorder="1"/>
    <xf numFmtId="37" fontId="25" fillId="0" borderId="0" xfId="0" applyFont="1" applyFill="1"/>
    <xf numFmtId="37" fontId="25" fillId="0" borderId="35" xfId="0" applyFont="1" applyFill="1" applyBorder="1"/>
    <xf numFmtId="37" fontId="8" fillId="0" borderId="35" xfId="0" applyFont="1" applyFill="1" applyBorder="1"/>
    <xf numFmtId="37" fontId="25" fillId="0" borderId="27" xfId="0" applyFont="1" applyFill="1" applyBorder="1"/>
    <xf numFmtId="37" fontId="25" fillId="0" borderId="41" xfId="0" applyFont="1" applyFill="1" applyBorder="1"/>
    <xf numFmtId="37" fontId="24" fillId="0" borderId="0" xfId="0" applyFont="1" applyFill="1"/>
    <xf numFmtId="37" fontId="26" fillId="0" borderId="35" xfId="0" applyFont="1" applyFill="1" applyBorder="1"/>
    <xf numFmtId="37" fontId="26" fillId="0" borderId="0" xfId="0" applyFont="1" applyFill="1"/>
    <xf numFmtId="37" fontId="0" fillId="0" borderId="27" xfId="0" applyFill="1" applyBorder="1" applyAlignment="1">
      <alignment horizontal="left"/>
    </xf>
    <xf numFmtId="37" fontId="0" fillId="0" borderId="0" xfId="0" applyFill="1" applyAlignment="1">
      <alignment horizontal="left"/>
    </xf>
    <xf numFmtId="37" fontId="12" fillId="0" borderId="27" xfId="0" applyFont="1" applyFill="1" applyBorder="1" applyAlignment="1">
      <alignment horizontal="left"/>
    </xf>
    <xf numFmtId="37" fontId="12" fillId="0" borderId="0" xfId="0" applyFont="1" applyFill="1" applyAlignment="1">
      <alignment horizontal="left"/>
    </xf>
    <xf numFmtId="37" fontId="10" fillId="2" borderId="1" xfId="0" applyFont="1" applyBorder="1" applyAlignment="1">
      <alignment horizontal="center"/>
    </xf>
    <xf numFmtId="37" fontId="10" fillId="2" borderId="2" xfId="0" applyFont="1" applyBorder="1" applyAlignment="1">
      <alignment horizontal="center"/>
    </xf>
    <xf numFmtId="37" fontId="10" fillId="2" borderId="4" xfId="0" applyFont="1" applyBorder="1" applyAlignment="1">
      <alignment horizontal="center"/>
    </xf>
    <xf numFmtId="37" fontId="10" fillId="2" borderId="0" xfId="0" applyFont="1" applyAlignment="1">
      <alignment horizontal="center"/>
    </xf>
    <xf numFmtId="37" fontId="19" fillId="2" borderId="38" xfId="0" applyFont="1" applyBorder="1" applyAlignment="1">
      <alignment horizontal="center" vertical="center" wrapText="1"/>
    </xf>
    <xf numFmtId="37" fontId="19" fillId="2" borderId="37" xfId="0" applyFont="1" applyBorder="1" applyAlignment="1">
      <alignment horizontal="center" vertical="center" wrapText="1"/>
    </xf>
    <xf numFmtId="37" fontId="11" fillId="2" borderId="21" xfId="0" applyFont="1" applyBorder="1" applyAlignment="1">
      <alignment horizontal="center" vertical="center"/>
    </xf>
    <xf numFmtId="37" fontId="11" fillId="2" borderId="24" xfId="0" applyFont="1" applyBorder="1" applyAlignment="1">
      <alignment horizontal="center" vertical="center"/>
    </xf>
  </cellXfs>
  <cellStyles count="8">
    <cellStyle name="Comma 2" xfId="3" xr:uid="{00000000-0005-0000-0000-000000000000}"/>
    <cellStyle name="Normal" xfId="0" builtinId="0"/>
    <cellStyle name="Normal 2" xfId="1" xr:uid="{00000000-0005-0000-0000-000002000000}"/>
    <cellStyle name="Normal 2 2" xfId="5" xr:uid="{00000000-0005-0000-0000-000003000000}"/>
    <cellStyle name="Normal 3" xfId="2" xr:uid="{00000000-0005-0000-0000-000004000000}"/>
    <cellStyle name="Normal 4" xfId="6" xr:uid="{00000000-0005-0000-0000-000005000000}"/>
    <cellStyle name="Percent 2" xfId="4" xr:uid="{00000000-0005-0000-0000-000006000000}"/>
    <cellStyle name="Percent 3" xfId="7" xr:uid="{00000000-0005-0000-0000-000007000000}"/>
  </cellStyles>
  <dxfs count="0"/>
  <tableStyles count="0" defaultTableStyle="TableStyleMedium9" defaultPivotStyle="PivotStyleLight16"/>
  <colors>
    <mruColors>
      <color rgb="FF0000FF"/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K38"/>
  <sheetViews>
    <sheetView zoomScaleNormal="100" zoomScaleSheetLayoutView="100" workbookViewId="0">
      <selection activeCell="K33" sqref="K33"/>
    </sheetView>
  </sheetViews>
  <sheetFormatPr defaultColWidth="15.6640625" defaultRowHeight="15"/>
  <cols>
    <col min="1" max="1" width="4.6640625" customWidth="1"/>
    <col min="2" max="2" width="1.6640625" customWidth="1"/>
    <col min="3" max="3" width="15.77734375" customWidth="1"/>
    <col min="4" max="4" width="2.6640625" hidden="1" customWidth="1"/>
    <col min="5" max="5" width="11" customWidth="1"/>
    <col min="6" max="6" width="1.6640625" customWidth="1"/>
    <col min="7" max="7" width="13.109375" customWidth="1"/>
    <col min="8" max="8" width="10.44140625" customWidth="1"/>
    <col min="9" max="9" width="13.77734375" customWidth="1"/>
    <col min="10" max="10" width="11.21875" customWidth="1"/>
    <col min="11" max="11" width="19.21875" customWidth="1"/>
    <col min="12" max="12" width="1.6640625" customWidth="1"/>
    <col min="13" max="13" width="8.6640625" customWidth="1"/>
  </cols>
  <sheetData>
    <row r="1" spans="1:37" s="4" customFormat="1">
      <c r="A1" s="1" t="s">
        <v>83</v>
      </c>
      <c r="B1" s="2"/>
      <c r="C1" s="2"/>
      <c r="D1" s="2"/>
      <c r="E1" s="2" t="s">
        <v>84</v>
      </c>
      <c r="F1" s="2"/>
      <c r="G1" s="2"/>
      <c r="H1" s="2"/>
      <c r="I1" s="2"/>
      <c r="J1" s="2"/>
      <c r="K1" s="3">
        <f ca="1">NOW()</f>
        <v>44902.644180787036</v>
      </c>
    </row>
    <row r="2" spans="1:37" s="4" customFormat="1">
      <c r="A2" s="5" t="s">
        <v>85</v>
      </c>
      <c r="E2" s="4" t="s">
        <v>112</v>
      </c>
      <c r="K2" s="6"/>
    </row>
    <row r="3" spans="1:37" s="4" customFormat="1">
      <c r="A3" s="5" t="s">
        <v>86</v>
      </c>
      <c r="E3" s="4" t="s">
        <v>113</v>
      </c>
      <c r="K3" s="6"/>
    </row>
    <row r="4" spans="1:37" s="4" customFormat="1">
      <c r="A4" s="7"/>
      <c r="B4" s="8"/>
      <c r="C4" s="8"/>
      <c r="D4" s="8"/>
      <c r="E4" s="8"/>
      <c r="F4" s="8"/>
      <c r="G4" s="56"/>
      <c r="H4" s="8"/>
      <c r="I4" s="8"/>
      <c r="J4" s="8"/>
      <c r="K4" s="9"/>
    </row>
    <row r="5" spans="1:37" s="4" customFormat="1">
      <c r="A5" s="10"/>
      <c r="B5" s="11"/>
      <c r="C5" s="11"/>
      <c r="D5" s="11"/>
      <c r="G5" s="57" t="s">
        <v>87</v>
      </c>
      <c r="H5" s="12" t="s">
        <v>88</v>
      </c>
      <c r="I5" s="12" t="s">
        <v>89</v>
      </c>
      <c r="J5" s="12" t="s">
        <v>90</v>
      </c>
      <c r="K5" s="13"/>
    </row>
    <row r="6" spans="1:37" s="4" customFormat="1">
      <c r="A6" s="10"/>
      <c r="B6" s="11"/>
      <c r="C6" s="11"/>
      <c r="D6" s="11"/>
      <c r="G6" s="57" t="s">
        <v>73</v>
      </c>
      <c r="H6" s="12" t="s">
        <v>73</v>
      </c>
      <c r="I6" s="12" t="s">
        <v>73</v>
      </c>
      <c r="J6" s="12" t="s">
        <v>73</v>
      </c>
      <c r="K6" s="14" t="s">
        <v>9</v>
      </c>
    </row>
    <row r="7" spans="1:37" s="4" customFormat="1">
      <c r="A7" s="10"/>
      <c r="B7" s="11"/>
      <c r="C7" s="11" t="s">
        <v>91</v>
      </c>
      <c r="D7" s="11"/>
      <c r="G7" s="57" t="s">
        <v>92</v>
      </c>
      <c r="H7" s="12" t="s">
        <v>93</v>
      </c>
      <c r="I7" s="12" t="s">
        <v>94</v>
      </c>
      <c r="J7" s="12" t="s">
        <v>95</v>
      </c>
      <c r="K7" s="14" t="s">
        <v>15</v>
      </c>
      <c r="N7" s="15"/>
    </row>
    <row r="8" spans="1:37" s="4" customFormat="1" ht="15" customHeight="1">
      <c r="A8" s="1"/>
      <c r="B8" s="2"/>
      <c r="C8" s="2"/>
      <c r="D8" s="2"/>
      <c r="E8" s="2"/>
      <c r="F8" s="2"/>
      <c r="G8" s="58"/>
      <c r="H8" s="63"/>
      <c r="I8" s="63"/>
      <c r="J8" s="63"/>
      <c r="K8" s="16"/>
    </row>
    <row r="9" spans="1:37" s="4" customFormat="1" ht="19.899999999999999" customHeight="1">
      <c r="A9" s="17" t="s">
        <v>16</v>
      </c>
      <c r="B9" s="18"/>
      <c r="C9" s="18" t="s">
        <v>96</v>
      </c>
      <c r="D9" s="19"/>
      <c r="E9" s="18"/>
      <c r="F9" s="18"/>
      <c r="G9" s="65">
        <v>19526</v>
      </c>
      <c r="H9" s="59">
        <f>29494-G9</f>
        <v>9968</v>
      </c>
      <c r="I9" s="65">
        <f>34053-H9</f>
        <v>24085</v>
      </c>
      <c r="J9" s="106">
        <f>46053-I9</f>
        <v>21968</v>
      </c>
      <c r="K9" s="19">
        <f>G9+H9+I9+J9</f>
        <v>75547</v>
      </c>
    </row>
    <row r="10" spans="1:37" s="4" customFormat="1" ht="19.899999999999999" customHeight="1">
      <c r="A10" s="20"/>
      <c r="B10" s="21"/>
      <c r="C10" s="21" t="s">
        <v>0</v>
      </c>
      <c r="D10" s="22"/>
      <c r="E10" s="21"/>
      <c r="F10" s="21"/>
      <c r="G10" s="60"/>
      <c r="H10" s="60"/>
      <c r="I10" s="60"/>
      <c r="J10" s="64"/>
      <c r="K10" s="19"/>
    </row>
    <row r="11" spans="1:37" s="4" customFormat="1" ht="19.899999999999999" customHeight="1">
      <c r="A11" s="23">
        <v>0.05</v>
      </c>
      <c r="B11" s="18"/>
      <c r="C11" s="18" t="s">
        <v>97</v>
      </c>
      <c r="D11" s="19"/>
      <c r="E11" s="18"/>
      <c r="F11" s="18"/>
      <c r="G11" s="65">
        <v>17045</v>
      </c>
      <c r="H11" s="65">
        <f>26910-G11</f>
        <v>9865</v>
      </c>
      <c r="I11" s="59">
        <f>48307-H11</f>
        <v>38442</v>
      </c>
      <c r="J11" s="65">
        <f>54135-I11</f>
        <v>15693</v>
      </c>
      <c r="K11" s="19">
        <f t="shared" ref="K11:K29" si="0">G11+H11+I11+J11</f>
        <v>81045</v>
      </c>
    </row>
    <row r="12" spans="1:37" s="4" customFormat="1" ht="19.899999999999999" customHeight="1">
      <c r="A12" s="20"/>
      <c r="B12" s="21"/>
      <c r="C12" s="21" t="s">
        <v>0</v>
      </c>
      <c r="D12" s="22"/>
      <c r="E12" s="21"/>
      <c r="F12" s="21"/>
      <c r="G12" s="60"/>
      <c r="H12" s="60"/>
      <c r="I12" s="60"/>
      <c r="J12" s="60"/>
      <c r="K12" s="19"/>
    </row>
    <row r="13" spans="1:37" ht="19.899999999999999" customHeight="1">
      <c r="A13" s="23">
        <v>0.04</v>
      </c>
      <c r="B13" s="18"/>
      <c r="C13" s="18" t="s">
        <v>98</v>
      </c>
      <c r="D13" s="19"/>
      <c r="E13" s="18"/>
      <c r="F13" s="18"/>
      <c r="G13" s="59">
        <v>25178</v>
      </c>
      <c r="H13" s="59">
        <f>40153-G13</f>
        <v>14975</v>
      </c>
      <c r="I13" s="59">
        <f>53088-H13</f>
        <v>38113</v>
      </c>
      <c r="J13" s="59">
        <f>10686</f>
        <v>10686</v>
      </c>
      <c r="K13" s="19">
        <f t="shared" si="0"/>
        <v>88952</v>
      </c>
      <c r="L13" s="4"/>
      <c r="M13" s="4"/>
    </row>
    <row r="14" spans="1:37" ht="19.899999999999999" customHeight="1">
      <c r="A14" s="20"/>
      <c r="B14" s="21"/>
      <c r="C14" s="21" t="s">
        <v>0</v>
      </c>
      <c r="D14" s="22"/>
      <c r="E14" s="21"/>
      <c r="F14" s="21"/>
      <c r="G14" s="60"/>
      <c r="H14" s="60"/>
      <c r="I14" s="60"/>
      <c r="J14" s="60"/>
      <c r="K14" s="19"/>
      <c r="L14" s="4"/>
      <c r="M14" s="4"/>
    </row>
    <row r="15" spans="1:37" s="42" customFormat="1" ht="19.899999999999999" customHeight="1">
      <c r="A15" s="38">
        <v>0.05</v>
      </c>
      <c r="B15" s="39"/>
      <c r="C15" s="43" t="s">
        <v>47</v>
      </c>
      <c r="D15" s="40"/>
      <c r="E15" s="39"/>
      <c r="F15" s="39"/>
      <c r="G15" s="62">
        <v>89357</v>
      </c>
      <c r="H15" s="62">
        <f>156165.53-G15</f>
        <v>66808.53</v>
      </c>
      <c r="I15" s="62">
        <f>219772.48-H15</f>
        <v>152963.95000000001</v>
      </c>
      <c r="J15" s="62">
        <f>284333.88-I15</f>
        <v>131369.93</v>
      </c>
      <c r="K15" s="19">
        <f t="shared" si="0"/>
        <v>440499.41</v>
      </c>
      <c r="L15" s="41"/>
      <c r="M15" s="4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</row>
    <row r="16" spans="1:37" ht="19.899999999999999" customHeight="1">
      <c r="A16" s="20"/>
      <c r="B16" s="21"/>
      <c r="C16" s="21"/>
      <c r="D16" s="22"/>
      <c r="E16" s="21"/>
      <c r="F16" s="21"/>
      <c r="G16" s="60"/>
      <c r="H16" s="60"/>
      <c r="I16" s="60"/>
      <c r="J16" s="60"/>
      <c r="K16" s="19"/>
      <c r="L16" s="4"/>
      <c r="M16" s="4"/>
    </row>
    <row r="17" spans="1:15" ht="19.899999999999999" customHeight="1">
      <c r="A17" s="17" t="s">
        <v>22</v>
      </c>
      <c r="B17" s="18"/>
      <c r="C17" s="18" t="s">
        <v>99</v>
      </c>
      <c r="D17" s="24" t="s">
        <v>100</v>
      </c>
      <c r="E17" s="18"/>
      <c r="F17" s="18"/>
      <c r="G17" s="65">
        <v>336.71</v>
      </c>
      <c r="H17" s="59">
        <f>1228.05-G17</f>
        <v>891.33999999999992</v>
      </c>
      <c r="I17" s="65">
        <f>2022.73-H17</f>
        <v>1131.3900000000001</v>
      </c>
      <c r="J17" s="59">
        <v>920.68</v>
      </c>
      <c r="K17" s="19">
        <f t="shared" si="0"/>
        <v>3280.12</v>
      </c>
      <c r="L17" s="4"/>
      <c r="M17" s="4"/>
      <c r="N17" s="44"/>
      <c r="O17" s="44"/>
    </row>
    <row r="18" spans="1:15" ht="19.899999999999999" customHeight="1">
      <c r="A18" s="20"/>
      <c r="B18" s="21"/>
      <c r="C18" s="21" t="s">
        <v>0</v>
      </c>
      <c r="D18" s="22"/>
      <c r="E18" s="21"/>
      <c r="F18" s="21"/>
      <c r="G18" s="60"/>
      <c r="H18" s="60"/>
      <c r="I18" s="60"/>
      <c r="J18" s="60"/>
      <c r="K18" s="19"/>
      <c r="L18" s="4"/>
      <c r="M18" s="4"/>
    </row>
    <row r="19" spans="1:15" ht="19.899999999999999" customHeight="1">
      <c r="A19" s="25">
        <v>0.03</v>
      </c>
      <c r="B19" s="18"/>
      <c r="C19" s="18" t="s">
        <v>101</v>
      </c>
      <c r="D19" s="19"/>
      <c r="E19" s="18"/>
      <c r="F19" s="18"/>
      <c r="G19" s="59">
        <v>16275</v>
      </c>
      <c r="H19" s="59">
        <f>27047-G19</f>
        <v>10772</v>
      </c>
      <c r="I19" s="59">
        <f>28419-H19</f>
        <v>17647</v>
      </c>
      <c r="J19" s="59">
        <f>32503-I19</f>
        <v>14856</v>
      </c>
      <c r="K19" s="19">
        <f t="shared" si="0"/>
        <v>59550</v>
      </c>
      <c r="L19" s="4"/>
      <c r="M19" s="4"/>
    </row>
    <row r="20" spans="1:15" ht="19.899999999999999" customHeight="1">
      <c r="A20" s="20"/>
      <c r="B20" s="21"/>
      <c r="C20" s="21"/>
      <c r="D20" s="22"/>
      <c r="E20" s="21"/>
      <c r="F20" s="21"/>
      <c r="G20" s="60"/>
      <c r="H20" s="60"/>
      <c r="I20" s="60"/>
      <c r="J20" s="60"/>
      <c r="K20" s="19"/>
      <c r="L20" s="4"/>
      <c r="M20" s="4"/>
    </row>
    <row r="21" spans="1:15" ht="19.899999999999999" customHeight="1">
      <c r="A21" s="25">
        <v>0.05</v>
      </c>
      <c r="B21" s="18"/>
      <c r="C21" s="18" t="s">
        <v>102</v>
      </c>
      <c r="D21" s="19"/>
      <c r="E21" s="18"/>
      <c r="F21" s="18"/>
      <c r="G21" s="59">
        <v>4063</v>
      </c>
      <c r="H21" s="65">
        <f>7550.73-G21</f>
        <v>3487.7299999999996</v>
      </c>
      <c r="I21" s="59">
        <f>9106.5-H21</f>
        <v>5618.77</v>
      </c>
      <c r="J21" s="103">
        <f>14269.87-I21</f>
        <v>8651.1</v>
      </c>
      <c r="K21" s="19">
        <f t="shared" si="0"/>
        <v>21820.6</v>
      </c>
      <c r="L21" s="4"/>
      <c r="M21" s="4" t="s">
        <v>0</v>
      </c>
    </row>
    <row r="22" spans="1:15" ht="19.899999999999999" customHeight="1">
      <c r="A22" s="20"/>
      <c r="B22" s="21"/>
      <c r="C22" s="21"/>
      <c r="D22" s="22"/>
      <c r="E22" s="21"/>
      <c r="F22" s="21"/>
      <c r="G22" s="60"/>
      <c r="H22" s="60"/>
      <c r="I22" s="60"/>
      <c r="J22" s="60"/>
      <c r="K22" s="19">
        <f t="shared" si="0"/>
        <v>0</v>
      </c>
      <c r="L22" s="4"/>
      <c r="M22" s="4"/>
    </row>
    <row r="23" spans="1:15" ht="19.899999999999999" customHeight="1">
      <c r="A23" s="23">
        <v>0.05</v>
      </c>
      <c r="B23" s="18"/>
      <c r="C23" s="18" t="s">
        <v>103</v>
      </c>
      <c r="D23" s="19"/>
      <c r="E23" s="18"/>
      <c r="F23" s="18"/>
      <c r="G23" s="65">
        <v>16811</v>
      </c>
      <c r="H23" s="67">
        <f>22512-G23</f>
        <v>5701</v>
      </c>
      <c r="I23" s="65">
        <f>23577-H23</f>
        <v>17876</v>
      </c>
      <c r="J23" s="59">
        <f>27512-I23</f>
        <v>9636</v>
      </c>
      <c r="K23" s="19">
        <f t="shared" si="0"/>
        <v>50024</v>
      </c>
      <c r="L23" s="4"/>
      <c r="M23" s="4"/>
    </row>
    <row r="24" spans="1:15" ht="19.899999999999999" customHeight="1">
      <c r="A24" s="20"/>
      <c r="B24" s="21"/>
      <c r="C24" s="21" t="s">
        <v>0</v>
      </c>
      <c r="D24" s="22"/>
      <c r="E24" s="21"/>
      <c r="F24" s="21"/>
      <c r="G24" s="60"/>
      <c r="H24" s="60"/>
      <c r="I24" s="60"/>
      <c r="J24" s="60"/>
      <c r="K24" s="19"/>
      <c r="L24" s="4"/>
      <c r="M24" s="4"/>
    </row>
    <row r="25" spans="1:15" ht="19.899999999999999" customHeight="1">
      <c r="A25" s="23">
        <v>0.04</v>
      </c>
      <c r="B25" s="18"/>
      <c r="C25" s="18" t="s">
        <v>104</v>
      </c>
      <c r="D25" s="19"/>
      <c r="E25" s="18"/>
      <c r="F25" s="18"/>
      <c r="G25" s="59">
        <v>140127</v>
      </c>
      <c r="H25" s="59">
        <f>258096-G25</f>
        <v>117969</v>
      </c>
      <c r="I25" s="62">
        <f>309476-H25</f>
        <v>191507</v>
      </c>
      <c r="J25" s="65">
        <f>382783-I25</f>
        <v>191276</v>
      </c>
      <c r="K25" s="19">
        <f t="shared" si="0"/>
        <v>640879</v>
      </c>
      <c r="L25" s="4"/>
      <c r="M25" s="4" t="s">
        <v>0</v>
      </c>
    </row>
    <row r="26" spans="1:15" ht="19.899999999999999" customHeight="1">
      <c r="A26" s="20"/>
      <c r="B26" s="21"/>
      <c r="C26" s="21" t="s">
        <v>0</v>
      </c>
      <c r="D26" s="22"/>
      <c r="E26" s="21"/>
      <c r="F26" s="21"/>
      <c r="G26" s="60"/>
      <c r="H26" s="60"/>
      <c r="I26" s="60"/>
      <c r="J26" s="60"/>
      <c r="K26" s="19"/>
      <c r="L26" s="4"/>
      <c r="M26" s="4"/>
    </row>
    <row r="27" spans="1:15" ht="19.899999999999999" customHeight="1">
      <c r="A27" s="17" t="s">
        <v>22</v>
      </c>
      <c r="B27" s="18"/>
      <c r="C27" s="18" t="s">
        <v>105</v>
      </c>
      <c r="D27" s="19"/>
      <c r="E27" s="18"/>
      <c r="F27" s="18"/>
      <c r="G27" s="59">
        <v>24403</v>
      </c>
      <c r="H27" s="59">
        <f>25462-G27</f>
        <v>1059</v>
      </c>
      <c r="I27" s="59">
        <f>26521-H27</f>
        <v>25462</v>
      </c>
      <c r="J27" s="59">
        <f>27702-I27</f>
        <v>2240</v>
      </c>
      <c r="K27" s="19">
        <f t="shared" si="0"/>
        <v>53164</v>
      </c>
      <c r="L27" s="4"/>
      <c r="M27" s="4"/>
    </row>
    <row r="28" spans="1:15" ht="19.899999999999999" customHeight="1">
      <c r="A28" s="20"/>
      <c r="B28" s="21"/>
      <c r="C28" s="21" t="s">
        <v>0</v>
      </c>
      <c r="D28" s="22"/>
      <c r="E28" s="21"/>
      <c r="F28" s="21"/>
      <c r="G28" s="60"/>
      <c r="H28" s="60"/>
      <c r="I28" s="60"/>
      <c r="J28" s="60"/>
      <c r="K28" s="19"/>
      <c r="L28" s="4"/>
      <c r="M28" s="4"/>
    </row>
    <row r="29" spans="1:15" ht="19.899999999999999" customHeight="1">
      <c r="A29" s="23">
        <v>0.05</v>
      </c>
      <c r="B29" s="18"/>
      <c r="C29" s="18" t="s">
        <v>65</v>
      </c>
      <c r="D29" s="22"/>
      <c r="E29" s="18"/>
      <c r="F29" s="18"/>
      <c r="G29" s="59">
        <v>74321</v>
      </c>
      <c r="H29" s="59">
        <f>128961.41-G29</f>
        <v>54640.41</v>
      </c>
      <c r="I29" s="59">
        <f>168985.67-H29</f>
        <v>114345.26000000001</v>
      </c>
      <c r="J29" s="59">
        <f>227760-I29</f>
        <v>113414.73999999999</v>
      </c>
      <c r="K29" s="19">
        <f t="shared" si="0"/>
        <v>356721.41000000003</v>
      </c>
      <c r="L29" s="4"/>
      <c r="M29" s="4"/>
    </row>
    <row r="30" spans="1:15" ht="19.899999999999999" customHeight="1">
      <c r="A30" s="20"/>
      <c r="B30" s="21"/>
      <c r="C30" s="21"/>
      <c r="D30" s="21"/>
      <c r="E30" s="26"/>
      <c r="F30" s="26"/>
      <c r="G30" s="61"/>
      <c r="H30" s="61"/>
      <c r="I30" s="61"/>
      <c r="J30" s="105" t="s">
        <v>0</v>
      </c>
      <c r="K30" s="19"/>
      <c r="L30" s="4"/>
      <c r="M30" s="4"/>
    </row>
    <row r="31" spans="1:15" ht="17.25" thickBot="1">
      <c r="A31" s="27"/>
      <c r="B31" s="28"/>
      <c r="C31" s="28" t="s">
        <v>106</v>
      </c>
      <c r="D31" s="29"/>
      <c r="E31" s="28"/>
      <c r="F31" s="28"/>
      <c r="G31" s="62">
        <f>SUM(G9:G30)</f>
        <v>427442.70999999996</v>
      </c>
      <c r="H31" s="62">
        <f>SUM(H9:H30)</f>
        <v>296137.01</v>
      </c>
      <c r="I31" s="62">
        <f>SUM(I8:I30)</f>
        <v>627191.37000000011</v>
      </c>
      <c r="J31" s="107">
        <f>SUM(J8:J30)</f>
        <v>520711.44999999995</v>
      </c>
      <c r="K31" s="104">
        <f>G31+H31+I31+J31</f>
        <v>1871482.54</v>
      </c>
      <c r="L31" s="4"/>
      <c r="M31" s="4"/>
    </row>
    <row r="32" spans="1:15" s="4" customFormat="1" ht="15.75" thickTop="1">
      <c r="A32" s="5"/>
      <c r="I32" s="30"/>
      <c r="J32" s="30"/>
      <c r="K32" s="6">
        <f>G31+H31+I31+J31</f>
        <v>1871482.54</v>
      </c>
    </row>
    <row r="33" spans="1:13" s="4" customFormat="1" ht="15.75">
      <c r="A33" s="31">
        <v>1</v>
      </c>
      <c r="B33" s="32"/>
      <c r="C33" s="4" t="s">
        <v>107</v>
      </c>
      <c r="K33" s="6"/>
    </row>
    <row r="34" spans="1:13" ht="15.75">
      <c r="A34" s="33"/>
      <c r="B34" s="4"/>
      <c r="C34" s="4"/>
      <c r="D34" s="4"/>
      <c r="E34" s="4"/>
      <c r="F34" s="4"/>
      <c r="G34" s="4"/>
      <c r="H34" s="4"/>
      <c r="I34" s="4"/>
      <c r="J34" s="4"/>
      <c r="K34" s="6"/>
      <c r="L34" s="4"/>
      <c r="M34" s="4"/>
    </row>
    <row r="35" spans="1:13">
      <c r="A35" s="34"/>
      <c r="B35" s="35"/>
      <c r="C35" s="35"/>
      <c r="D35" s="35"/>
      <c r="E35" s="35"/>
      <c r="F35" s="35"/>
      <c r="G35" s="35"/>
      <c r="H35" s="35"/>
      <c r="I35" s="35"/>
      <c r="J35" s="35"/>
      <c r="K35" s="36"/>
    </row>
    <row r="38" spans="1:13" ht="15.75">
      <c r="C38" s="37"/>
    </row>
  </sheetData>
  <phoneticPr fontId="3" type="noConversion"/>
  <pageMargins left="0.75" right="0.75" top="1" bottom="1" header="0.5" footer="0.5"/>
  <pageSetup scale="72" orientation="portrait" r:id="rId1"/>
  <headerFooter alignWithMargins="0"/>
  <colBreaks count="1" manualBreakCount="1">
    <brk id="12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1:J79"/>
  <sheetViews>
    <sheetView topLeftCell="A6" zoomScaleNormal="100" workbookViewId="0">
      <selection activeCell="G31" sqref="G31"/>
    </sheetView>
  </sheetViews>
  <sheetFormatPr defaultRowHeight="15"/>
  <cols>
    <col min="2" max="2" width="27.5546875" bestFit="1" customWidth="1"/>
    <col min="3" max="3" width="10.88671875" customWidth="1"/>
    <col min="4" max="4" width="11.5546875" customWidth="1"/>
    <col min="5" max="6" width="10.5546875" bestFit="1" customWidth="1"/>
    <col min="7" max="7" width="13.88671875" bestFit="1" customWidth="1"/>
  </cols>
  <sheetData>
    <row r="1" spans="1:7">
      <c r="A1" s="45" t="s">
        <v>0</v>
      </c>
      <c r="B1" s="46"/>
      <c r="C1" s="46" t="s">
        <v>1</v>
      </c>
      <c r="D1" s="46"/>
      <c r="E1" s="46"/>
      <c r="F1" s="46"/>
      <c r="G1" s="73">
        <f ca="1">NOW()</f>
        <v>44902.644180787036</v>
      </c>
    </row>
    <row r="2" spans="1:7">
      <c r="A2" s="48" t="s">
        <v>0</v>
      </c>
      <c r="B2" s="47"/>
      <c r="C2" s="47" t="s">
        <v>110</v>
      </c>
      <c r="D2" s="47"/>
      <c r="E2" s="47"/>
      <c r="F2" s="47"/>
      <c r="G2" s="49"/>
    </row>
    <row r="3" spans="1:7">
      <c r="A3" s="48" t="s">
        <v>0</v>
      </c>
      <c r="B3" s="47"/>
      <c r="C3" s="47" t="s">
        <v>140</v>
      </c>
      <c r="D3" s="47"/>
      <c r="E3" s="47"/>
      <c r="F3" s="47"/>
      <c r="G3" s="49"/>
    </row>
    <row r="4" spans="1:7">
      <c r="A4" s="69" t="s">
        <v>2</v>
      </c>
      <c r="B4" s="70" t="s">
        <v>2</v>
      </c>
      <c r="C4" s="70" t="s">
        <v>2</v>
      </c>
      <c r="D4" s="70" t="s">
        <v>2</v>
      </c>
      <c r="E4" s="70" t="s">
        <v>2</v>
      </c>
      <c r="F4" s="70" t="s">
        <v>2</v>
      </c>
      <c r="G4" s="71" t="s">
        <v>2</v>
      </c>
    </row>
    <row r="5" spans="1:7">
      <c r="A5" s="48"/>
      <c r="B5" s="74"/>
      <c r="C5" s="137" t="s">
        <v>3</v>
      </c>
      <c r="D5" s="75" t="s">
        <v>4</v>
      </c>
      <c r="E5" s="75" t="s">
        <v>5</v>
      </c>
      <c r="F5" s="75" t="s">
        <v>6</v>
      </c>
      <c r="G5" s="76"/>
    </row>
    <row r="6" spans="1:7">
      <c r="A6" s="48"/>
      <c r="B6" s="74"/>
      <c r="C6" s="137" t="s">
        <v>7</v>
      </c>
      <c r="D6" s="75" t="s">
        <v>8</v>
      </c>
      <c r="E6" s="75" t="s">
        <v>7</v>
      </c>
      <c r="F6" s="75" t="s">
        <v>73</v>
      </c>
      <c r="G6" s="77" t="s">
        <v>9</v>
      </c>
    </row>
    <row r="7" spans="1:7" ht="18">
      <c r="A7" s="68"/>
      <c r="B7" s="146" t="s">
        <v>10</v>
      </c>
      <c r="C7" s="135" t="s">
        <v>11</v>
      </c>
      <c r="D7" s="79" t="s">
        <v>12</v>
      </c>
      <c r="E7" s="136" t="s">
        <v>13</v>
      </c>
      <c r="F7" s="79" t="s">
        <v>14</v>
      </c>
      <c r="G7" s="81" t="s">
        <v>15</v>
      </c>
    </row>
    <row r="8" spans="1:7" ht="15.75">
      <c r="A8" s="82" t="s">
        <v>16</v>
      </c>
      <c r="B8" s="128" t="s">
        <v>17</v>
      </c>
      <c r="C8" s="126">
        <v>118201</v>
      </c>
      <c r="D8" s="126">
        <v>105685</v>
      </c>
      <c r="E8" s="126">
        <v>101321</v>
      </c>
      <c r="F8" s="126">
        <v>146250</v>
      </c>
      <c r="G8" s="126">
        <f t="shared" ref="G8:G22" si="0">SUM(C8:F8)</f>
        <v>471457</v>
      </c>
    </row>
    <row r="9" spans="1:7" ht="15.75">
      <c r="A9" s="130">
        <v>0.05</v>
      </c>
      <c r="B9" s="89" t="s">
        <v>78</v>
      </c>
      <c r="C9" s="126">
        <v>2988933</v>
      </c>
      <c r="D9" s="126">
        <v>1731340</v>
      </c>
      <c r="E9" s="126">
        <v>1917444</v>
      </c>
      <c r="F9" s="126">
        <v>3003560</v>
      </c>
      <c r="G9" s="126">
        <f t="shared" si="0"/>
        <v>9641277</v>
      </c>
    </row>
    <row r="10" spans="1:7" ht="15.75">
      <c r="A10" s="130">
        <v>0.01</v>
      </c>
      <c r="B10" s="89" t="s">
        <v>147</v>
      </c>
      <c r="C10" s="126">
        <v>596655</v>
      </c>
      <c r="D10" s="126">
        <v>346267</v>
      </c>
      <c r="E10" s="126">
        <v>383488</v>
      </c>
      <c r="F10" s="126">
        <v>600712</v>
      </c>
      <c r="G10" s="126">
        <f t="shared" si="0"/>
        <v>1927122</v>
      </c>
    </row>
    <row r="11" spans="1:7" ht="15.75">
      <c r="A11" s="82" t="s">
        <v>16</v>
      </c>
      <c r="B11" s="85" t="s">
        <v>18</v>
      </c>
      <c r="C11" s="126">
        <v>39303</v>
      </c>
      <c r="D11" s="126">
        <v>15423</v>
      </c>
      <c r="E11" s="126">
        <v>135192</v>
      </c>
      <c r="F11" s="126">
        <v>56635</v>
      </c>
      <c r="G11" s="126">
        <f t="shared" si="0"/>
        <v>246553</v>
      </c>
    </row>
    <row r="12" spans="1:7" ht="15.75">
      <c r="A12" s="82" t="s">
        <v>16</v>
      </c>
      <c r="B12" s="85" t="s">
        <v>19</v>
      </c>
      <c r="C12" s="126">
        <v>88426</v>
      </c>
      <c r="D12" s="126">
        <v>168142</v>
      </c>
      <c r="E12" s="132">
        <v>27832</v>
      </c>
      <c r="F12" s="132">
        <v>105254</v>
      </c>
      <c r="G12" s="126">
        <f t="shared" si="0"/>
        <v>389654</v>
      </c>
    </row>
    <row r="13" spans="1:7" ht="15.75">
      <c r="A13" s="82" t="s">
        <v>16</v>
      </c>
      <c r="B13" s="85" t="s">
        <v>20</v>
      </c>
      <c r="C13" s="126">
        <v>2871.14</v>
      </c>
      <c r="D13" s="126">
        <v>5688</v>
      </c>
      <c r="E13" s="126">
        <v>4950</v>
      </c>
      <c r="F13" s="126">
        <v>16476</v>
      </c>
      <c r="G13" s="126">
        <f t="shared" si="0"/>
        <v>29985.14</v>
      </c>
    </row>
    <row r="14" spans="1:7" ht="15.75">
      <c r="A14" s="87">
        <v>0.04</v>
      </c>
      <c r="B14" s="85" t="s">
        <v>21</v>
      </c>
      <c r="C14" s="126">
        <v>14976</v>
      </c>
      <c r="D14" s="126">
        <v>4747</v>
      </c>
      <c r="E14" s="126">
        <v>8582</v>
      </c>
      <c r="F14" s="132">
        <v>55702</v>
      </c>
      <c r="G14" s="126">
        <f t="shared" si="0"/>
        <v>84007</v>
      </c>
    </row>
    <row r="15" spans="1:7" ht="15.75">
      <c r="A15" s="82" t="s">
        <v>22</v>
      </c>
      <c r="B15" s="85" t="s">
        <v>23</v>
      </c>
      <c r="C15" s="126">
        <v>31407</v>
      </c>
      <c r="D15" s="126">
        <v>26373</v>
      </c>
      <c r="E15" s="126">
        <v>19149</v>
      </c>
      <c r="F15" s="126">
        <v>29321</v>
      </c>
      <c r="G15" s="126">
        <f t="shared" si="0"/>
        <v>106250</v>
      </c>
    </row>
    <row r="16" spans="1:7" ht="15.75">
      <c r="A16" s="87">
        <v>0.03</v>
      </c>
      <c r="B16" s="85" t="s">
        <v>75</v>
      </c>
      <c r="C16" s="126">
        <v>18813</v>
      </c>
      <c r="D16" s="126">
        <v>16552</v>
      </c>
      <c r="E16" s="126">
        <v>8345</v>
      </c>
      <c r="F16" s="126">
        <v>18928</v>
      </c>
      <c r="G16" s="126">
        <f t="shared" si="0"/>
        <v>62638</v>
      </c>
    </row>
    <row r="17" spans="1:8" ht="15.75">
      <c r="A17" s="87">
        <v>0.03</v>
      </c>
      <c r="B17" s="85" t="s">
        <v>76</v>
      </c>
      <c r="C17" s="126">
        <v>1366.19</v>
      </c>
      <c r="D17" s="126">
        <v>891.75</v>
      </c>
      <c r="E17" s="126">
        <v>607.9</v>
      </c>
      <c r="F17" s="132">
        <v>708.06</v>
      </c>
      <c r="G17" s="126">
        <f t="shared" si="0"/>
        <v>3573.9</v>
      </c>
    </row>
    <row r="18" spans="1:8" ht="15.75">
      <c r="A18" s="87">
        <v>0.05</v>
      </c>
      <c r="B18" s="85" t="s">
        <v>24</v>
      </c>
      <c r="C18" s="126">
        <v>470054</v>
      </c>
      <c r="D18" s="126">
        <v>390710</v>
      </c>
      <c r="E18" s="126">
        <v>457100</v>
      </c>
      <c r="F18" s="126">
        <v>545866</v>
      </c>
      <c r="G18" s="126">
        <f t="shared" si="0"/>
        <v>1863730</v>
      </c>
    </row>
    <row r="19" spans="1:8" ht="15.75">
      <c r="A19" s="82" t="s">
        <v>22</v>
      </c>
      <c r="B19" s="85" t="s">
        <v>25</v>
      </c>
      <c r="C19" s="126">
        <v>1296</v>
      </c>
      <c r="D19" s="126">
        <v>1753</v>
      </c>
      <c r="E19" s="126">
        <v>1814</v>
      </c>
      <c r="F19" s="126">
        <v>1406</v>
      </c>
      <c r="G19" s="126">
        <f t="shared" si="0"/>
        <v>6269</v>
      </c>
    </row>
    <row r="20" spans="1:8" ht="15.75">
      <c r="A20" s="87">
        <v>0.04</v>
      </c>
      <c r="B20" s="85" t="s">
        <v>26</v>
      </c>
      <c r="C20" s="126">
        <v>43852</v>
      </c>
      <c r="D20" s="126">
        <v>24937</v>
      </c>
      <c r="E20" s="126">
        <v>4550</v>
      </c>
      <c r="F20" s="126">
        <v>9207</v>
      </c>
      <c r="G20" s="126">
        <f t="shared" si="0"/>
        <v>82546</v>
      </c>
    </row>
    <row r="21" spans="1:8" ht="15.75">
      <c r="A21" s="82" t="s">
        <v>27</v>
      </c>
      <c r="B21" s="85" t="s">
        <v>28</v>
      </c>
      <c r="C21" s="126">
        <v>9907</v>
      </c>
      <c r="D21" s="126">
        <v>4790</v>
      </c>
      <c r="E21" s="126">
        <v>1362</v>
      </c>
      <c r="F21" s="126">
        <v>2891</v>
      </c>
      <c r="G21" s="126">
        <f t="shared" si="0"/>
        <v>18950</v>
      </c>
    </row>
    <row r="22" spans="1:8" ht="15.75">
      <c r="A22" s="87">
        <v>0.05</v>
      </c>
      <c r="B22" s="85" t="s">
        <v>29</v>
      </c>
      <c r="C22" s="126">
        <v>19380</v>
      </c>
      <c r="D22" s="126">
        <v>8193</v>
      </c>
      <c r="E22" s="126">
        <v>7284</v>
      </c>
      <c r="F22" s="126">
        <v>10676</v>
      </c>
      <c r="G22" s="126">
        <f t="shared" si="0"/>
        <v>45533</v>
      </c>
    </row>
    <row r="23" spans="1:8" ht="15.75">
      <c r="A23" s="87">
        <v>0.05</v>
      </c>
      <c r="B23" s="85" t="s">
        <v>77</v>
      </c>
      <c r="C23" s="126">
        <v>43533</v>
      </c>
      <c r="D23" s="126">
        <v>25895</v>
      </c>
      <c r="E23" s="126">
        <v>21461</v>
      </c>
      <c r="F23" s="126">
        <v>29866</v>
      </c>
      <c r="G23" s="126">
        <f>SUM(C23:F23)</f>
        <v>120755</v>
      </c>
    </row>
    <row r="24" spans="1:8" ht="15.75">
      <c r="A24" s="87">
        <v>0.05</v>
      </c>
      <c r="B24" s="85" t="s">
        <v>30</v>
      </c>
      <c r="C24" s="132">
        <f>190125+13585.71</f>
        <v>203710.71</v>
      </c>
      <c r="D24" s="126">
        <f>156001+6566.86</f>
        <v>162567.85999999999</v>
      </c>
      <c r="E24" s="126">
        <v>111170</v>
      </c>
      <c r="F24" s="126">
        <v>173974</v>
      </c>
      <c r="G24" s="126">
        <f t="shared" ref="G24:G71" si="1">SUM(C24:F24)</f>
        <v>651422.56999999995</v>
      </c>
    </row>
    <row r="25" spans="1:8" ht="15.75">
      <c r="A25" s="87">
        <v>0.05</v>
      </c>
      <c r="B25" s="85" t="s">
        <v>31</v>
      </c>
      <c r="C25" s="126">
        <v>717</v>
      </c>
      <c r="D25" s="126">
        <v>612</v>
      </c>
      <c r="E25" s="126">
        <v>664</v>
      </c>
      <c r="F25" s="126">
        <v>915</v>
      </c>
      <c r="G25" s="126">
        <f t="shared" si="1"/>
        <v>2908</v>
      </c>
      <c r="H25" t="s">
        <v>0</v>
      </c>
    </row>
    <row r="26" spans="1:8" ht="15.75">
      <c r="A26" s="93">
        <v>3.5000000000000003E-2</v>
      </c>
      <c r="B26" s="85" t="s">
        <v>74</v>
      </c>
      <c r="C26" s="126">
        <v>1286</v>
      </c>
      <c r="D26" s="126">
        <v>1586</v>
      </c>
      <c r="E26" s="126">
        <v>563</v>
      </c>
      <c r="F26" s="126">
        <v>999</v>
      </c>
      <c r="G26" s="126">
        <f t="shared" si="1"/>
        <v>4434</v>
      </c>
    </row>
    <row r="27" spans="1:8" ht="15.75">
      <c r="A27" s="82" t="s">
        <v>22</v>
      </c>
      <c r="B27" s="85" t="s">
        <v>32</v>
      </c>
      <c r="C27" s="126">
        <v>36918</v>
      </c>
      <c r="D27" s="126">
        <v>5101</v>
      </c>
      <c r="E27" s="126">
        <v>3258</v>
      </c>
      <c r="F27" s="132">
        <v>1833</v>
      </c>
      <c r="G27" s="126">
        <f t="shared" si="1"/>
        <v>47110</v>
      </c>
    </row>
    <row r="28" spans="1:8" ht="15.75">
      <c r="A28" s="94" t="s">
        <v>16</v>
      </c>
      <c r="B28" s="85" t="s">
        <v>80</v>
      </c>
      <c r="C28" s="126">
        <v>94192</v>
      </c>
      <c r="D28" s="126">
        <v>85594</v>
      </c>
      <c r="E28" s="126">
        <v>96936</v>
      </c>
      <c r="F28" s="126">
        <v>98920</v>
      </c>
      <c r="G28" s="126">
        <f t="shared" si="1"/>
        <v>375642</v>
      </c>
    </row>
    <row r="29" spans="1:8" ht="15.75">
      <c r="A29" s="82" t="s">
        <v>22</v>
      </c>
      <c r="B29" s="85" t="s">
        <v>33</v>
      </c>
      <c r="C29" s="126">
        <v>19996</v>
      </c>
      <c r="D29" s="126">
        <v>6630</v>
      </c>
      <c r="E29" s="126">
        <v>4088</v>
      </c>
      <c r="F29" s="126">
        <v>3573</v>
      </c>
      <c r="G29" s="126">
        <f t="shared" si="1"/>
        <v>34287</v>
      </c>
    </row>
    <row r="30" spans="1:8" ht="15.75">
      <c r="A30" s="87">
        <v>0.05</v>
      </c>
      <c r="B30" s="85" t="s">
        <v>72</v>
      </c>
      <c r="C30" s="126">
        <v>8976.52</v>
      </c>
      <c r="D30" s="126">
        <v>6427.63</v>
      </c>
      <c r="E30" s="126">
        <v>19326.13</v>
      </c>
      <c r="F30" s="126">
        <v>8965</v>
      </c>
      <c r="G30" s="126">
        <f t="shared" si="1"/>
        <v>43695.28</v>
      </c>
      <c r="H30" t="s">
        <v>0</v>
      </c>
    </row>
    <row r="31" spans="1:8" ht="15.75">
      <c r="A31" s="87">
        <v>0.05</v>
      </c>
      <c r="B31" s="85" t="s">
        <v>34</v>
      </c>
      <c r="C31" s="126">
        <v>47819</v>
      </c>
      <c r="D31" s="126">
        <v>1901</v>
      </c>
      <c r="E31" s="132">
        <v>2987</v>
      </c>
      <c r="F31" s="132">
        <v>9983</v>
      </c>
      <c r="G31" s="126">
        <f t="shared" si="1"/>
        <v>62690</v>
      </c>
      <c r="H31" t="s">
        <v>0</v>
      </c>
    </row>
    <row r="32" spans="1:8" ht="15.75">
      <c r="A32" s="82" t="s">
        <v>16</v>
      </c>
      <c r="B32" s="85" t="s">
        <v>35</v>
      </c>
      <c r="C32" s="126">
        <v>348230</v>
      </c>
      <c r="D32" s="126">
        <v>262593</v>
      </c>
      <c r="E32" s="126">
        <v>291938</v>
      </c>
      <c r="F32" s="126">
        <v>301362</v>
      </c>
      <c r="G32" s="126">
        <f t="shared" si="1"/>
        <v>1204123</v>
      </c>
    </row>
    <row r="33" spans="1:10" ht="15.75">
      <c r="A33" s="82" t="s">
        <v>16</v>
      </c>
      <c r="B33" s="85" t="s">
        <v>36</v>
      </c>
      <c r="C33" s="126">
        <v>10190</v>
      </c>
      <c r="D33" s="126">
        <v>8927</v>
      </c>
      <c r="E33" s="132">
        <v>4944</v>
      </c>
      <c r="F33" s="126">
        <v>6005</v>
      </c>
      <c r="G33" s="126">
        <f t="shared" si="1"/>
        <v>30066</v>
      </c>
    </row>
    <row r="34" spans="1:10" ht="15.75">
      <c r="A34" s="82" t="s">
        <v>16</v>
      </c>
      <c r="B34" s="85" t="s">
        <v>37</v>
      </c>
      <c r="C34" s="126">
        <v>375801</v>
      </c>
      <c r="D34" s="126">
        <v>306297</v>
      </c>
      <c r="E34" s="126">
        <v>253735</v>
      </c>
      <c r="F34" s="126">
        <v>318094</v>
      </c>
      <c r="G34" s="126">
        <f t="shared" si="1"/>
        <v>1253927</v>
      </c>
      <c r="I34" t="s">
        <v>0</v>
      </c>
    </row>
    <row r="35" spans="1:10" ht="15.75">
      <c r="A35" s="82" t="s">
        <v>16</v>
      </c>
      <c r="B35" s="85" t="s">
        <v>38</v>
      </c>
      <c r="C35" s="126">
        <v>110081</v>
      </c>
      <c r="D35" s="126">
        <v>86541</v>
      </c>
      <c r="E35" s="126">
        <v>63149</v>
      </c>
      <c r="F35" s="126">
        <v>101147</v>
      </c>
      <c r="G35" s="126">
        <f t="shared" si="1"/>
        <v>360918</v>
      </c>
    </row>
    <row r="36" spans="1:10" ht="15.75">
      <c r="A36" s="82" t="s">
        <v>22</v>
      </c>
      <c r="B36" s="85" t="s">
        <v>39</v>
      </c>
      <c r="C36" s="126">
        <v>455</v>
      </c>
      <c r="D36" s="126">
        <v>479</v>
      </c>
      <c r="E36" s="126">
        <v>263</v>
      </c>
      <c r="F36" s="126">
        <v>332.95</v>
      </c>
      <c r="G36" s="126">
        <f t="shared" si="1"/>
        <v>1529.95</v>
      </c>
    </row>
    <row r="37" spans="1:10" ht="15.75">
      <c r="A37" s="87">
        <v>0.05</v>
      </c>
      <c r="B37" s="85" t="s">
        <v>40</v>
      </c>
      <c r="C37" s="126">
        <v>382024</v>
      </c>
      <c r="D37" s="126">
        <v>372714</v>
      </c>
      <c r="E37" s="126">
        <v>339097</v>
      </c>
      <c r="F37" s="126">
        <v>429116</v>
      </c>
      <c r="G37" s="126">
        <f t="shared" si="1"/>
        <v>1522951</v>
      </c>
      <c r="J37" t="s">
        <v>0</v>
      </c>
    </row>
    <row r="38" spans="1:10" ht="15.75">
      <c r="A38" s="87">
        <v>0.03</v>
      </c>
      <c r="B38" s="85" t="s">
        <v>41</v>
      </c>
      <c r="C38" s="126">
        <v>493</v>
      </c>
      <c r="D38" s="126">
        <v>529</v>
      </c>
      <c r="E38" s="126">
        <v>443</v>
      </c>
      <c r="F38" s="126">
        <v>490</v>
      </c>
      <c r="G38" s="126">
        <f t="shared" si="1"/>
        <v>1955</v>
      </c>
    </row>
    <row r="39" spans="1:10" ht="15.75">
      <c r="A39" s="82" t="s">
        <v>16</v>
      </c>
      <c r="B39" s="85" t="s">
        <v>42</v>
      </c>
      <c r="C39" s="132">
        <v>4007</v>
      </c>
      <c r="D39" s="126">
        <v>3564</v>
      </c>
      <c r="E39" s="126">
        <v>2350</v>
      </c>
      <c r="F39" s="132">
        <v>2580</v>
      </c>
      <c r="G39" s="126">
        <f t="shared" si="1"/>
        <v>12501</v>
      </c>
    </row>
    <row r="40" spans="1:10" ht="15.75">
      <c r="A40" s="82" t="s">
        <v>16</v>
      </c>
      <c r="B40" s="85" t="s">
        <v>43</v>
      </c>
      <c r="C40" s="132">
        <v>460652</v>
      </c>
      <c r="D40" s="126">
        <v>463625</v>
      </c>
      <c r="E40" s="126">
        <v>428732</v>
      </c>
      <c r="F40" s="132">
        <v>493168</v>
      </c>
      <c r="G40" s="126">
        <f t="shared" si="1"/>
        <v>1846177</v>
      </c>
    </row>
    <row r="41" spans="1:10" ht="15.75">
      <c r="A41" s="147">
        <v>2.5</v>
      </c>
      <c r="B41" s="85" t="s">
        <v>148</v>
      </c>
      <c r="C41" s="132">
        <v>302119</v>
      </c>
      <c r="D41" s="126">
        <v>290175</v>
      </c>
      <c r="E41" s="126">
        <v>278001</v>
      </c>
      <c r="F41" s="132">
        <v>287665.09000000003</v>
      </c>
      <c r="G41" s="126">
        <f t="shared" si="1"/>
        <v>1157960.0900000001</v>
      </c>
    </row>
    <row r="42" spans="1:10" ht="15.75">
      <c r="A42" s="82" t="s">
        <v>27</v>
      </c>
      <c r="B42" s="85" t="s">
        <v>44</v>
      </c>
      <c r="C42" s="132">
        <v>91375</v>
      </c>
      <c r="D42" s="126">
        <v>53935</v>
      </c>
      <c r="E42" s="126">
        <v>46646</v>
      </c>
      <c r="F42" s="126">
        <v>70141</v>
      </c>
      <c r="G42" s="126">
        <f t="shared" si="1"/>
        <v>262097</v>
      </c>
    </row>
    <row r="43" spans="1:10" ht="15.75">
      <c r="A43" s="82" t="s">
        <v>22</v>
      </c>
      <c r="B43" s="85" t="s">
        <v>45</v>
      </c>
      <c r="C43" s="126">
        <v>3107</v>
      </c>
      <c r="D43" s="126">
        <v>2343</v>
      </c>
      <c r="E43" s="126">
        <v>1349</v>
      </c>
      <c r="F43" s="126">
        <v>2560</v>
      </c>
      <c r="G43" s="126">
        <f t="shared" si="1"/>
        <v>9359</v>
      </c>
    </row>
    <row r="44" spans="1:10" ht="15.75">
      <c r="A44" s="82" t="s">
        <v>16</v>
      </c>
      <c r="B44" s="85" t="s">
        <v>46</v>
      </c>
      <c r="C44" s="126">
        <v>47123</v>
      </c>
      <c r="D44" s="126">
        <v>48651</v>
      </c>
      <c r="E44" s="126">
        <v>69777</v>
      </c>
      <c r="F44" s="126">
        <v>56538</v>
      </c>
      <c r="G44" s="126">
        <f t="shared" si="1"/>
        <v>222089</v>
      </c>
    </row>
    <row r="45" spans="1:10" ht="15.75">
      <c r="A45" s="82" t="s">
        <v>27</v>
      </c>
      <c r="B45" s="85" t="s">
        <v>48</v>
      </c>
      <c r="C45" s="126">
        <v>13984</v>
      </c>
      <c r="D45" s="126">
        <v>17482</v>
      </c>
      <c r="E45" s="126">
        <v>11103</v>
      </c>
      <c r="F45" s="126">
        <v>18968</v>
      </c>
      <c r="G45" s="126">
        <f t="shared" si="1"/>
        <v>61537</v>
      </c>
    </row>
    <row r="46" spans="1:10" ht="15.75">
      <c r="A46" s="94" t="s">
        <v>16</v>
      </c>
      <c r="B46" s="85" t="s">
        <v>49</v>
      </c>
      <c r="C46" s="126">
        <v>16956</v>
      </c>
      <c r="D46" s="126">
        <v>17434</v>
      </c>
      <c r="E46" s="126">
        <v>12231</v>
      </c>
      <c r="F46" s="126">
        <v>18603</v>
      </c>
      <c r="G46" s="126">
        <f t="shared" si="1"/>
        <v>65224</v>
      </c>
      <c r="H46" t="s">
        <v>0</v>
      </c>
    </row>
    <row r="47" spans="1:10" ht="15.75">
      <c r="A47" s="87">
        <v>0.04</v>
      </c>
      <c r="B47" s="85" t="s">
        <v>50</v>
      </c>
      <c r="C47" s="126">
        <v>608.52</v>
      </c>
      <c r="D47" s="126">
        <v>241</v>
      </c>
      <c r="E47" s="126">
        <v>268</v>
      </c>
      <c r="F47" s="126">
        <v>4439</v>
      </c>
      <c r="G47" s="126">
        <f t="shared" si="1"/>
        <v>5556.52</v>
      </c>
    </row>
    <row r="48" spans="1:10" ht="15.75">
      <c r="A48" s="82" t="s">
        <v>16</v>
      </c>
      <c r="B48" s="85" t="s">
        <v>122</v>
      </c>
      <c r="C48" s="132">
        <v>1040.55</v>
      </c>
      <c r="D48" s="126">
        <v>1128</v>
      </c>
      <c r="E48" s="126">
        <v>2760</v>
      </c>
      <c r="F48" s="126">
        <v>966</v>
      </c>
      <c r="G48" s="126">
        <f t="shared" si="1"/>
        <v>5894.55</v>
      </c>
    </row>
    <row r="49" spans="1:8" ht="15.75">
      <c r="A49" s="82" t="s">
        <v>22</v>
      </c>
      <c r="B49" s="85" t="s">
        <v>51</v>
      </c>
      <c r="C49" s="126">
        <v>297</v>
      </c>
      <c r="D49" s="126">
        <v>1830</v>
      </c>
      <c r="E49" s="126">
        <v>457</v>
      </c>
      <c r="F49" s="126">
        <v>341</v>
      </c>
      <c r="G49" s="126">
        <f t="shared" si="1"/>
        <v>2925</v>
      </c>
    </row>
    <row r="50" spans="1:8" ht="15.75">
      <c r="A50" s="82" t="s">
        <v>16</v>
      </c>
      <c r="B50" s="85" t="s">
        <v>52</v>
      </c>
      <c r="C50" s="132">
        <v>64417</v>
      </c>
      <c r="D50" s="126">
        <v>50673</v>
      </c>
      <c r="E50" s="126">
        <v>32546</v>
      </c>
      <c r="F50" s="126">
        <v>48208</v>
      </c>
      <c r="G50" s="126">
        <f t="shared" si="1"/>
        <v>195844</v>
      </c>
    </row>
    <row r="51" spans="1:8" ht="15.75">
      <c r="A51" s="82" t="s">
        <v>22</v>
      </c>
      <c r="B51" s="85" t="s">
        <v>53</v>
      </c>
      <c r="C51" s="126">
        <v>1233</v>
      </c>
      <c r="D51" s="126">
        <v>1706</v>
      </c>
      <c r="E51" s="132">
        <v>3028</v>
      </c>
      <c r="F51" s="132">
        <v>4904</v>
      </c>
      <c r="G51" s="126">
        <f t="shared" si="1"/>
        <v>10871</v>
      </c>
    </row>
    <row r="52" spans="1:8" ht="15.75">
      <c r="A52" s="82" t="s">
        <v>16</v>
      </c>
      <c r="B52" s="85" t="s">
        <v>54</v>
      </c>
      <c r="C52" s="126">
        <v>37240</v>
      </c>
      <c r="D52" s="126">
        <v>33458</v>
      </c>
      <c r="E52" s="126">
        <v>27690</v>
      </c>
      <c r="F52" s="126">
        <v>31173</v>
      </c>
      <c r="G52" s="126">
        <f t="shared" si="1"/>
        <v>129561</v>
      </c>
    </row>
    <row r="53" spans="1:8" ht="15.75">
      <c r="A53" s="82" t="s">
        <v>16</v>
      </c>
      <c r="B53" s="85" t="s">
        <v>55</v>
      </c>
      <c r="C53" s="126">
        <v>137273</v>
      </c>
      <c r="D53" s="126">
        <v>67904</v>
      </c>
      <c r="E53" s="126">
        <v>56826</v>
      </c>
      <c r="F53" s="126">
        <v>72915</v>
      </c>
      <c r="G53" s="126">
        <f t="shared" si="1"/>
        <v>334918</v>
      </c>
    </row>
    <row r="54" spans="1:8" ht="15.75">
      <c r="A54" s="82" t="s">
        <v>16</v>
      </c>
      <c r="B54" s="85" t="s">
        <v>56</v>
      </c>
      <c r="C54" s="126">
        <v>220379</v>
      </c>
      <c r="D54" s="126">
        <v>114460</v>
      </c>
      <c r="E54" s="126">
        <v>171121</v>
      </c>
      <c r="F54" s="126">
        <v>120313</v>
      </c>
      <c r="G54" s="126">
        <f t="shared" si="1"/>
        <v>626273</v>
      </c>
    </row>
    <row r="55" spans="1:8" ht="15.75">
      <c r="A55" s="87">
        <v>0.05</v>
      </c>
      <c r="B55" s="85" t="s">
        <v>132</v>
      </c>
      <c r="C55" s="132">
        <v>1051</v>
      </c>
      <c r="D55" s="126">
        <v>1452</v>
      </c>
      <c r="E55" s="126">
        <v>705</v>
      </c>
      <c r="F55" s="126">
        <v>604</v>
      </c>
      <c r="G55" s="126">
        <f t="shared" si="1"/>
        <v>3812</v>
      </c>
      <c r="H55" t="s">
        <v>0</v>
      </c>
    </row>
    <row r="56" spans="1:8" ht="15.75">
      <c r="A56" s="87">
        <v>0.05</v>
      </c>
      <c r="B56" s="85" t="s">
        <v>57</v>
      </c>
      <c r="C56" s="126">
        <v>83242</v>
      </c>
      <c r="D56" s="126">
        <v>87003</v>
      </c>
      <c r="E56" s="126">
        <v>60639</v>
      </c>
      <c r="F56" s="126">
        <v>81615</v>
      </c>
      <c r="G56" s="126">
        <f t="shared" si="1"/>
        <v>312499</v>
      </c>
    </row>
    <row r="57" spans="1:8" ht="15.75">
      <c r="A57" s="82" t="s">
        <v>16</v>
      </c>
      <c r="B57" s="85" t="s">
        <v>58</v>
      </c>
      <c r="C57" s="126">
        <v>294386</v>
      </c>
      <c r="D57" s="126">
        <v>258389</v>
      </c>
      <c r="E57" s="126">
        <v>239996</v>
      </c>
      <c r="F57" s="126">
        <v>267876</v>
      </c>
      <c r="G57" s="126">
        <f t="shared" si="1"/>
        <v>1060647</v>
      </c>
    </row>
    <row r="58" spans="1:8" ht="15.75">
      <c r="A58" s="96" t="s">
        <v>16</v>
      </c>
      <c r="B58" s="85" t="s">
        <v>59</v>
      </c>
      <c r="C58" s="132">
        <v>422933</v>
      </c>
      <c r="D58" s="126">
        <v>231053</v>
      </c>
      <c r="E58" s="126">
        <v>308301</v>
      </c>
      <c r="F58" s="126">
        <v>236047</v>
      </c>
      <c r="G58" s="126">
        <f t="shared" si="1"/>
        <v>1198334</v>
      </c>
    </row>
    <row r="59" spans="1:8" ht="15.75">
      <c r="A59" s="82" t="s">
        <v>16</v>
      </c>
      <c r="B59" s="85" t="s">
        <v>60</v>
      </c>
      <c r="C59" s="126">
        <v>68674</v>
      </c>
      <c r="D59" s="126">
        <v>35747</v>
      </c>
      <c r="E59" s="126">
        <v>31512</v>
      </c>
      <c r="F59" s="126">
        <v>33798</v>
      </c>
      <c r="G59" s="126">
        <f t="shared" si="1"/>
        <v>169731</v>
      </c>
    </row>
    <row r="60" spans="1:8" ht="15.75">
      <c r="A60" s="87">
        <v>0.05</v>
      </c>
      <c r="B60" s="97" t="s">
        <v>79</v>
      </c>
      <c r="C60" s="126">
        <v>1901413</v>
      </c>
      <c r="D60" s="126">
        <v>1445941</v>
      </c>
      <c r="E60" s="126">
        <v>1205153</v>
      </c>
      <c r="F60" s="126">
        <v>1414806</v>
      </c>
      <c r="G60" s="126">
        <f t="shared" si="1"/>
        <v>5967313</v>
      </c>
    </row>
    <row r="61" spans="1:8" ht="15.75">
      <c r="A61" s="87">
        <v>0.02</v>
      </c>
      <c r="B61" s="97" t="s">
        <v>146</v>
      </c>
      <c r="C61" s="126">
        <v>760565</v>
      </c>
      <c r="D61" s="126">
        <v>578377</v>
      </c>
      <c r="E61" s="126">
        <v>482061</v>
      </c>
      <c r="F61" s="126">
        <v>565922</v>
      </c>
      <c r="G61" s="126">
        <f t="shared" si="1"/>
        <v>2386925</v>
      </c>
    </row>
    <row r="62" spans="1:8" ht="15.75">
      <c r="A62" s="87">
        <v>0.05</v>
      </c>
      <c r="B62" s="85" t="s">
        <v>61</v>
      </c>
      <c r="C62" s="126">
        <v>138642</v>
      </c>
      <c r="D62" s="126">
        <v>112539</v>
      </c>
      <c r="E62" s="126">
        <v>74461</v>
      </c>
      <c r="F62" s="132">
        <v>140806</v>
      </c>
      <c r="G62" s="126">
        <f t="shared" si="1"/>
        <v>466448</v>
      </c>
      <c r="H62" t="s">
        <v>0</v>
      </c>
    </row>
    <row r="63" spans="1:8" ht="15.75">
      <c r="A63" s="82" t="s">
        <v>16</v>
      </c>
      <c r="B63" s="85" t="s">
        <v>62</v>
      </c>
      <c r="C63" s="126">
        <v>77020</v>
      </c>
      <c r="D63" s="126">
        <v>54266</v>
      </c>
      <c r="E63" s="132">
        <v>49558</v>
      </c>
      <c r="F63" s="132">
        <v>62808</v>
      </c>
      <c r="G63" s="126">
        <f t="shared" si="1"/>
        <v>243652</v>
      </c>
    </row>
    <row r="64" spans="1:8" ht="15.75">
      <c r="A64" s="87">
        <v>0.05</v>
      </c>
      <c r="B64" s="85" t="s">
        <v>63</v>
      </c>
      <c r="C64" s="126">
        <v>93060</v>
      </c>
      <c r="D64" s="126">
        <v>100052</v>
      </c>
      <c r="E64" s="132">
        <v>88429</v>
      </c>
      <c r="F64" s="126">
        <v>96743</v>
      </c>
      <c r="G64" s="126">
        <f t="shared" si="1"/>
        <v>378284</v>
      </c>
    </row>
    <row r="65" spans="1:7" ht="15.75">
      <c r="A65" s="82" t="s">
        <v>22</v>
      </c>
      <c r="B65" s="85" t="s">
        <v>133</v>
      </c>
      <c r="C65" s="126">
        <v>1424</v>
      </c>
      <c r="D65" s="126">
        <v>895</v>
      </c>
      <c r="E65" s="126">
        <v>844</v>
      </c>
      <c r="F65" s="126">
        <v>996</v>
      </c>
      <c r="G65" s="126">
        <f t="shared" si="1"/>
        <v>4159</v>
      </c>
    </row>
    <row r="66" spans="1:7" ht="15.75">
      <c r="A66" s="87">
        <v>0.05</v>
      </c>
      <c r="B66" s="85" t="s">
        <v>65</v>
      </c>
      <c r="C66" s="126">
        <v>329639</v>
      </c>
      <c r="D66" s="126">
        <v>248605</v>
      </c>
      <c r="E66" s="126">
        <v>194423</v>
      </c>
      <c r="F66" s="126">
        <v>237203</v>
      </c>
      <c r="G66" s="126">
        <f t="shared" si="1"/>
        <v>1009870</v>
      </c>
    </row>
    <row r="67" spans="1:7" ht="15.75">
      <c r="A67" s="94" t="s">
        <v>16</v>
      </c>
      <c r="B67" s="85" t="s">
        <v>66</v>
      </c>
      <c r="C67" s="126">
        <v>17633</v>
      </c>
      <c r="D67" s="126">
        <v>28986</v>
      </c>
      <c r="E67" s="126">
        <v>181018</v>
      </c>
      <c r="F67" s="126">
        <v>74222.28</v>
      </c>
      <c r="G67" s="126">
        <f t="shared" si="1"/>
        <v>301859.28000000003</v>
      </c>
    </row>
    <row r="68" spans="1:7" ht="15.75">
      <c r="A68" s="82" t="s">
        <v>16</v>
      </c>
      <c r="B68" s="85" t="s">
        <v>67</v>
      </c>
      <c r="C68" s="126">
        <v>49530</v>
      </c>
      <c r="D68" s="126">
        <v>47887</v>
      </c>
      <c r="E68" s="126">
        <v>57451</v>
      </c>
      <c r="F68" s="126">
        <v>62697</v>
      </c>
      <c r="G68" s="126">
        <f t="shared" si="1"/>
        <v>217565</v>
      </c>
    </row>
    <row r="69" spans="1:7" ht="15.75">
      <c r="A69" s="82" t="s">
        <v>16</v>
      </c>
      <c r="B69" s="85" t="s">
        <v>68</v>
      </c>
      <c r="C69" s="126">
        <v>160743</v>
      </c>
      <c r="D69" s="126">
        <v>115028</v>
      </c>
      <c r="E69" s="126">
        <v>118460</v>
      </c>
      <c r="F69" s="126">
        <v>165541</v>
      </c>
      <c r="G69" s="126">
        <f t="shared" si="1"/>
        <v>559772</v>
      </c>
    </row>
    <row r="70" spans="1:7" ht="15.75">
      <c r="A70" s="94" t="s">
        <v>16</v>
      </c>
      <c r="B70" s="85" t="s">
        <v>82</v>
      </c>
      <c r="C70" s="126">
        <v>39174</v>
      </c>
      <c r="D70" s="126">
        <v>12864</v>
      </c>
      <c r="E70" s="132">
        <v>11551</v>
      </c>
      <c r="F70" s="126">
        <v>8007</v>
      </c>
      <c r="G70" s="126">
        <f t="shared" si="1"/>
        <v>71596</v>
      </c>
    </row>
    <row r="71" spans="1:7" ht="15.75">
      <c r="A71" s="82" t="s">
        <v>22</v>
      </c>
      <c r="B71" s="85" t="s">
        <v>69</v>
      </c>
      <c r="C71" s="126">
        <v>460</v>
      </c>
      <c r="D71" s="126">
        <v>401</v>
      </c>
      <c r="E71" s="126">
        <v>431</v>
      </c>
      <c r="F71" s="126">
        <v>761</v>
      </c>
      <c r="G71" s="126">
        <f t="shared" si="1"/>
        <v>2053</v>
      </c>
    </row>
    <row r="72" spans="1:7">
      <c r="A72" s="45"/>
      <c r="B72" s="46"/>
      <c r="C72" s="126"/>
      <c r="D72" s="126"/>
      <c r="E72" s="126"/>
      <c r="F72" s="126"/>
      <c r="G72" s="126"/>
    </row>
    <row r="73" spans="1:7" ht="15.75">
      <c r="A73" s="68"/>
      <c r="B73" s="129" t="s">
        <v>70</v>
      </c>
      <c r="C73" s="126">
        <f>SUM(C8:C72)</f>
        <v>11971262.629999999</v>
      </c>
      <c r="D73" s="126">
        <f>SUM(D8:D72)</f>
        <v>8713980.2400000002</v>
      </c>
      <c r="E73" s="126">
        <f>SUM(E8:E72)</f>
        <v>8542921.0299999993</v>
      </c>
      <c r="F73" s="126">
        <f>SUM(F8:F72)</f>
        <v>10773101.380000001</v>
      </c>
      <c r="G73" s="126">
        <f>SUM(G8:G72)</f>
        <v>40001265.280000001</v>
      </c>
    </row>
    <row r="74" spans="1:7">
      <c r="A74" t="s">
        <v>0</v>
      </c>
      <c r="G74">
        <f>C73+D73+E73+F73</f>
        <v>40001265.280000001</v>
      </c>
    </row>
    <row r="75" spans="1:7">
      <c r="A75" t="s">
        <v>0</v>
      </c>
    </row>
    <row r="76" spans="1:7">
      <c r="A76" s="139" t="s">
        <v>144</v>
      </c>
    </row>
    <row r="78" spans="1:7">
      <c r="A78" t="s">
        <v>149</v>
      </c>
    </row>
    <row r="79" spans="1:7">
      <c r="A79" t="s">
        <v>150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R37"/>
  <sheetViews>
    <sheetView tabSelected="1" zoomScaleNormal="100" workbookViewId="0">
      <selection activeCell="B3" sqref="B3"/>
    </sheetView>
  </sheetViews>
  <sheetFormatPr defaultRowHeight="15"/>
  <cols>
    <col min="1" max="1" width="2.88671875" customWidth="1"/>
    <col min="2" max="2" width="17.21875" customWidth="1"/>
    <col min="3" max="3" width="6.77734375" customWidth="1"/>
    <col min="5" max="5" width="11.21875" customWidth="1"/>
    <col min="6" max="9" width="10.6640625" customWidth="1"/>
    <col min="10" max="10" width="12.21875" customWidth="1"/>
    <col min="11" max="11" width="28.77734375" customWidth="1"/>
    <col min="12" max="13" width="8.77734375" hidden="1" customWidth="1"/>
  </cols>
  <sheetData>
    <row r="1" spans="1:11">
      <c r="B1" s="42"/>
      <c r="H1" s="42"/>
      <c r="I1" s="42"/>
      <c r="J1" s="42"/>
    </row>
    <row r="2" spans="1:11" ht="15.75">
      <c r="A2" s="153"/>
      <c r="C2" s="2"/>
      <c r="D2" s="2"/>
      <c r="E2" s="159" t="s">
        <v>83</v>
      </c>
      <c r="F2" s="155" t="s">
        <v>84</v>
      </c>
      <c r="G2" s="2"/>
      <c r="J2" s="158"/>
    </row>
    <row r="3" spans="1:11" ht="18" customHeight="1">
      <c r="B3" s="160"/>
      <c r="C3" s="4"/>
      <c r="D3" s="156" t="s">
        <v>155</v>
      </c>
      <c r="G3" s="4"/>
      <c r="J3" s="153"/>
    </row>
    <row r="4" spans="1:11" ht="15.75">
      <c r="B4" s="31" t="s">
        <v>139</v>
      </c>
      <c r="C4" s="4"/>
      <c r="D4" s="4"/>
      <c r="E4" s="4"/>
      <c r="F4" s="152" t="s">
        <v>160</v>
      </c>
      <c r="G4" s="4"/>
      <c r="J4" s="157"/>
    </row>
    <row r="5" spans="1:11" ht="10.15" customHeight="1">
      <c r="B5" s="7"/>
      <c r="C5" s="8"/>
      <c r="D5" s="8"/>
      <c r="E5" s="8"/>
      <c r="F5" s="56"/>
      <c r="G5" s="56"/>
      <c r="H5" s="56"/>
      <c r="I5" s="56"/>
      <c r="J5" s="56"/>
    </row>
    <row r="6" spans="1:11">
      <c r="B6" s="10"/>
      <c r="C6" s="11"/>
      <c r="D6" s="11"/>
      <c r="E6" s="11"/>
      <c r="F6" s="57" t="s">
        <v>87</v>
      </c>
      <c r="G6" s="57" t="s">
        <v>88</v>
      </c>
      <c r="H6" s="57" t="s">
        <v>89</v>
      </c>
      <c r="I6" s="57" t="s">
        <v>90</v>
      </c>
      <c r="J6" s="119"/>
    </row>
    <row r="7" spans="1:11">
      <c r="B7" s="10"/>
      <c r="C7" s="11"/>
      <c r="D7" s="11"/>
      <c r="E7" s="11"/>
      <c r="F7" s="57" t="s">
        <v>73</v>
      </c>
      <c r="G7" s="57" t="s">
        <v>73</v>
      </c>
      <c r="H7" s="57" t="s">
        <v>73</v>
      </c>
      <c r="I7" s="57" t="s">
        <v>73</v>
      </c>
      <c r="J7" s="57" t="s">
        <v>9</v>
      </c>
    </row>
    <row r="8" spans="1:11" ht="26.25">
      <c r="B8" s="154" t="s">
        <v>154</v>
      </c>
      <c r="C8" s="11"/>
      <c r="D8" s="138" t="s">
        <v>91</v>
      </c>
      <c r="E8" s="11"/>
      <c r="F8" s="125" t="s">
        <v>92</v>
      </c>
      <c r="G8" s="125" t="s">
        <v>93</v>
      </c>
      <c r="H8" s="125" t="s">
        <v>94</v>
      </c>
      <c r="I8" s="125" t="s">
        <v>95</v>
      </c>
      <c r="J8" s="125" t="s">
        <v>15</v>
      </c>
    </row>
    <row r="9" spans="1:11" ht="10.15" customHeight="1">
      <c r="B9" s="1"/>
      <c r="C9" s="2"/>
      <c r="D9" s="2"/>
      <c r="E9" s="2"/>
      <c r="F9" s="117"/>
      <c r="G9" s="117"/>
      <c r="H9" s="117"/>
      <c r="I9" s="117"/>
      <c r="J9" s="127"/>
    </row>
    <row r="10" spans="1:11" ht="16.5">
      <c r="B10" s="17" t="s">
        <v>16</v>
      </c>
      <c r="C10" s="18"/>
      <c r="D10" s="18" t="s">
        <v>96</v>
      </c>
      <c r="E10" s="18"/>
      <c r="F10" s="168">
        <v>11143</v>
      </c>
      <c r="G10" s="168">
        <f>22365-11143</f>
        <v>11222</v>
      </c>
      <c r="H10" s="168">
        <f>40184-G10-F10</f>
        <v>17819</v>
      </c>
      <c r="I10" s="168">
        <f>67672-H10-G10-F10</f>
        <v>27488</v>
      </c>
      <c r="J10" s="171">
        <f>F10+G10+H10+I10</f>
        <v>67672</v>
      </c>
    </row>
    <row r="11" spans="1:11" ht="10.15" customHeight="1">
      <c r="B11" s="123"/>
      <c r="C11" s="21"/>
      <c r="D11" s="21" t="s">
        <v>0</v>
      </c>
      <c r="E11" s="21"/>
      <c r="F11" s="169"/>
      <c r="G11" s="169"/>
      <c r="H11" s="169"/>
      <c r="I11" s="169"/>
      <c r="J11" s="172"/>
    </row>
    <row r="12" spans="1:11" ht="16.5">
      <c r="B12" s="23">
        <v>0.05</v>
      </c>
      <c r="C12" s="18"/>
      <c r="D12" s="162" t="s">
        <v>97</v>
      </c>
      <c r="E12" s="18"/>
      <c r="F12" s="168">
        <f>27531</f>
        <v>27531</v>
      </c>
      <c r="G12" s="168">
        <f>52120-27531</f>
        <v>24589</v>
      </c>
      <c r="H12" s="168">
        <f>67527-G12-F12</f>
        <v>15407</v>
      </c>
      <c r="I12" s="168">
        <f>99395-H12-G12-F12</f>
        <v>31868</v>
      </c>
      <c r="J12" s="171">
        <f>F12+G12+H12+I12</f>
        <v>99395</v>
      </c>
      <c r="K12" s="139"/>
    </row>
    <row r="13" spans="1:11" ht="10.15" customHeight="1">
      <c r="B13" s="123"/>
      <c r="C13" s="21"/>
      <c r="D13" s="21" t="s">
        <v>0</v>
      </c>
      <c r="E13" s="21"/>
      <c r="F13" s="170"/>
      <c r="G13" s="170"/>
      <c r="H13" s="170"/>
      <c r="I13" s="170"/>
      <c r="J13" s="172"/>
    </row>
    <row r="14" spans="1:11" ht="16.5">
      <c r="B14" s="23">
        <v>0.04</v>
      </c>
      <c r="C14" s="18"/>
      <c r="D14" s="18" t="s">
        <v>98</v>
      </c>
      <c r="E14" s="18"/>
      <c r="F14" s="168">
        <f>116321</f>
        <v>116321</v>
      </c>
      <c r="G14" s="168">
        <f>222724-116321</f>
        <v>106403</v>
      </c>
      <c r="H14" s="168">
        <f>313184.4-G14-F14</f>
        <v>90460.400000000023</v>
      </c>
      <c r="I14" s="168">
        <f>403008.18-H14-G14-F14</f>
        <v>89823.77999999997</v>
      </c>
      <c r="J14" s="171">
        <f>F14+G14+H14+I14</f>
        <v>403008.18</v>
      </c>
    </row>
    <row r="15" spans="1:11" ht="10.15" customHeight="1">
      <c r="B15" s="123"/>
      <c r="C15" s="21"/>
      <c r="D15" s="21" t="s">
        <v>0</v>
      </c>
      <c r="E15" s="21"/>
      <c r="F15" s="169"/>
      <c r="G15" s="169"/>
      <c r="H15" s="169"/>
      <c r="I15" s="169"/>
      <c r="J15" s="172"/>
    </row>
    <row r="16" spans="1:11" ht="16.5">
      <c r="B16" s="124">
        <v>0.05</v>
      </c>
      <c r="C16" s="39"/>
      <c r="D16" s="43" t="s">
        <v>47</v>
      </c>
      <c r="E16" s="39"/>
      <c r="F16" s="168">
        <f>46392</f>
        <v>46392</v>
      </c>
      <c r="G16" s="168">
        <f>89001-F16</f>
        <v>42609</v>
      </c>
      <c r="H16" s="168">
        <f>125627-G16-F16</f>
        <v>36626</v>
      </c>
      <c r="I16" s="168">
        <f>178882-H16-G16-F16</f>
        <v>53255</v>
      </c>
      <c r="J16" s="171">
        <f>F16+G16+H16+I16</f>
        <v>178882</v>
      </c>
    </row>
    <row r="17" spans="2:18" ht="10.15" customHeight="1">
      <c r="B17" s="123"/>
      <c r="C17" s="21"/>
      <c r="D17" s="21" t="s">
        <v>0</v>
      </c>
      <c r="E17" s="21"/>
      <c r="F17" s="169"/>
      <c r="G17" s="169"/>
      <c r="H17" s="169"/>
      <c r="I17" s="169"/>
      <c r="J17" s="172"/>
    </row>
    <row r="18" spans="2:18" ht="16.5">
      <c r="B18" s="23">
        <v>0.05</v>
      </c>
      <c r="C18" s="18"/>
      <c r="D18" s="18" t="s">
        <v>101</v>
      </c>
      <c r="E18" s="18"/>
      <c r="F18" s="168">
        <f>30392</f>
        <v>30392</v>
      </c>
      <c r="G18" s="168">
        <f>41423-30392</f>
        <v>11031</v>
      </c>
      <c r="H18" s="168">
        <f>71781-G18-F18</f>
        <v>30358</v>
      </c>
      <c r="I18" s="168">
        <f>104085-H18-G18-F18</f>
        <v>32304</v>
      </c>
      <c r="J18" s="171">
        <f>F18+G18+H18+I18</f>
        <v>104085</v>
      </c>
      <c r="K18" s="191"/>
      <c r="L18" s="192"/>
      <c r="M18" s="192"/>
    </row>
    <row r="19" spans="2:18" ht="10.15" customHeight="1">
      <c r="B19" s="123"/>
      <c r="C19" s="21"/>
      <c r="D19" s="21"/>
      <c r="E19" s="21"/>
      <c r="F19" s="169"/>
      <c r="G19" s="169"/>
      <c r="H19" s="169"/>
      <c r="I19" s="169"/>
      <c r="J19" s="171"/>
    </row>
    <row r="20" spans="2:18" ht="16.5">
      <c r="B20" s="23">
        <v>0.05</v>
      </c>
      <c r="C20" s="18"/>
      <c r="D20" s="162" t="s">
        <v>102</v>
      </c>
      <c r="E20" s="18"/>
      <c r="F20" s="168">
        <v>189</v>
      </c>
      <c r="G20" s="168">
        <f>189-F20</f>
        <v>0</v>
      </c>
      <c r="H20" s="168">
        <f>1202.69-G20-F20</f>
        <v>1013.69</v>
      </c>
      <c r="I20" s="168">
        <f>2907.44-H20-G20-F20</f>
        <v>1704.75</v>
      </c>
      <c r="J20" s="171">
        <f t="shared" ref="J20" si="0">F20+G20+H20+I20</f>
        <v>2907.44</v>
      </c>
      <c r="K20" s="189"/>
      <c r="L20" s="190"/>
      <c r="M20" s="190"/>
      <c r="N20" s="190"/>
      <c r="O20" s="190"/>
      <c r="P20" s="190"/>
      <c r="Q20" s="190"/>
      <c r="R20" s="190"/>
    </row>
    <row r="21" spans="2:18" ht="10.15" customHeight="1">
      <c r="B21" s="123"/>
      <c r="C21" s="21"/>
      <c r="D21" s="21"/>
      <c r="E21" s="21"/>
      <c r="F21" s="169"/>
      <c r="G21" s="169"/>
      <c r="H21" s="169"/>
      <c r="I21" s="169"/>
      <c r="J21" s="172"/>
    </row>
    <row r="22" spans="2:18" ht="16.5">
      <c r="B22" s="23">
        <v>0.05</v>
      </c>
      <c r="C22" s="18"/>
      <c r="D22" s="18" t="s">
        <v>103</v>
      </c>
      <c r="E22" s="18"/>
      <c r="F22" s="168">
        <f>21029</f>
        <v>21029</v>
      </c>
      <c r="G22" s="168">
        <f>37505-21029</f>
        <v>16476</v>
      </c>
      <c r="H22" s="168">
        <f>43331.58-G22-F22</f>
        <v>5826.5800000000017</v>
      </c>
      <c r="I22" s="168">
        <f>56496.63-H22-G22-F22</f>
        <v>13165.049999999996</v>
      </c>
      <c r="J22" s="171">
        <f>F22+G22+H22+I22</f>
        <v>56496.63</v>
      </c>
    </row>
    <row r="23" spans="2:18" ht="10.15" customHeight="1">
      <c r="B23" s="123"/>
      <c r="C23" s="21"/>
      <c r="D23" s="21" t="s">
        <v>0</v>
      </c>
      <c r="E23" s="21"/>
      <c r="F23" s="169"/>
      <c r="G23" s="169"/>
      <c r="H23" s="169"/>
      <c r="I23" s="169"/>
      <c r="J23" s="172"/>
    </row>
    <row r="24" spans="2:18" ht="16.5">
      <c r="B24" s="23">
        <v>0.04</v>
      </c>
      <c r="C24" s="18"/>
      <c r="D24" s="162" t="s">
        <v>104</v>
      </c>
      <c r="E24" s="18"/>
      <c r="F24" s="168">
        <f>104656</f>
        <v>104656</v>
      </c>
      <c r="G24" s="168">
        <f>240395-F24</f>
        <v>135739</v>
      </c>
      <c r="H24" s="168">
        <f>316800-G24-F24</f>
        <v>76405</v>
      </c>
      <c r="I24" s="168">
        <f>593674-H24-G24-F24</f>
        <v>276874</v>
      </c>
      <c r="J24" s="171">
        <f>F24+G24+H24+I24</f>
        <v>593674</v>
      </c>
    </row>
    <row r="25" spans="2:18" ht="10.15" customHeight="1">
      <c r="B25" s="123"/>
      <c r="C25" s="21"/>
      <c r="D25" s="21" t="s">
        <v>0</v>
      </c>
      <c r="E25" s="21"/>
      <c r="F25" s="169"/>
      <c r="G25" s="169"/>
      <c r="H25" s="169"/>
      <c r="I25" s="169"/>
      <c r="J25" s="173"/>
    </row>
    <row r="26" spans="2:18" ht="16.5">
      <c r="B26" s="17" t="s">
        <v>22</v>
      </c>
      <c r="C26" s="18"/>
      <c r="D26" s="162" t="s">
        <v>105</v>
      </c>
      <c r="E26" s="18"/>
      <c r="F26" s="168">
        <f>13520/4</f>
        <v>3380</v>
      </c>
      <c r="G26" s="168">
        <v>3380</v>
      </c>
      <c r="H26" s="168">
        <v>3380</v>
      </c>
      <c r="I26" s="168">
        <f>13520/4</f>
        <v>3380</v>
      </c>
      <c r="J26" s="171">
        <f>13520</f>
        <v>13520</v>
      </c>
      <c r="K26" s="139"/>
    </row>
    <row r="27" spans="2:18" ht="10.15" customHeight="1">
      <c r="B27" s="123"/>
      <c r="C27" s="21"/>
      <c r="D27" s="21"/>
      <c r="E27" s="21"/>
      <c r="F27" s="169"/>
      <c r="G27" s="169"/>
      <c r="H27" s="169"/>
      <c r="I27" s="169"/>
      <c r="J27" s="173"/>
    </row>
    <row r="28" spans="2:18" ht="16.5">
      <c r="B28" s="23">
        <v>0.03</v>
      </c>
      <c r="C28" s="18"/>
      <c r="D28" s="18" t="s">
        <v>63</v>
      </c>
      <c r="E28" s="18"/>
      <c r="F28" s="168">
        <f>470</f>
        <v>470</v>
      </c>
      <c r="G28" s="168">
        <f>1674-470</f>
        <v>1204</v>
      </c>
      <c r="H28" s="168">
        <f>2454.89-G28-F28</f>
        <v>780.88999999999987</v>
      </c>
      <c r="I28" s="168">
        <f>3636.26-H28-G28-F28</f>
        <v>1181.3700000000003</v>
      </c>
      <c r="J28" s="171">
        <f>F28+G28+H28+I28</f>
        <v>3636.26</v>
      </c>
      <c r="K28" s="189"/>
      <c r="L28" s="190"/>
      <c r="M28" s="190"/>
    </row>
    <row r="29" spans="2:18" ht="10.15" customHeight="1">
      <c r="B29" s="123"/>
      <c r="C29" s="21"/>
      <c r="D29" s="21" t="s">
        <v>0</v>
      </c>
      <c r="E29" s="21"/>
      <c r="F29" s="169"/>
      <c r="G29" s="169"/>
      <c r="H29" s="169"/>
      <c r="I29" s="169"/>
      <c r="J29" s="173"/>
    </row>
    <row r="30" spans="2:18" ht="16.5">
      <c r="B30" s="23">
        <v>0.05</v>
      </c>
      <c r="C30" s="18"/>
      <c r="D30" s="18" t="s">
        <v>65</v>
      </c>
      <c r="E30" s="121"/>
      <c r="F30" s="168">
        <f>318533-102957</f>
        <v>215576</v>
      </c>
      <c r="G30" s="168">
        <f>318533-215576</f>
        <v>102957</v>
      </c>
      <c r="H30" s="168">
        <f>463349-G30-F30</f>
        <v>144816</v>
      </c>
      <c r="I30" s="168">
        <f>627855-H30-G30-F30</f>
        <v>164506</v>
      </c>
      <c r="J30" s="171">
        <f>F30+G30+H30+I30</f>
        <v>627855</v>
      </c>
      <c r="K30" s="189"/>
      <c r="L30" s="190"/>
      <c r="M30" s="190"/>
    </row>
    <row r="31" spans="2:18" ht="10.15" customHeight="1">
      <c r="B31" s="20"/>
      <c r="C31" s="21"/>
      <c r="D31" s="21"/>
      <c r="E31" s="21"/>
      <c r="F31" s="117"/>
      <c r="G31" s="117"/>
      <c r="H31" s="117"/>
      <c r="I31" s="117"/>
      <c r="J31" s="174"/>
    </row>
    <row r="32" spans="2:18" ht="16.5">
      <c r="B32" s="151"/>
      <c r="C32" s="43"/>
      <c r="D32" s="43" t="s">
        <v>106</v>
      </c>
      <c r="E32" s="121"/>
      <c r="F32" s="118">
        <f>SUM(F10:F30)</f>
        <v>577079</v>
      </c>
      <c r="G32" s="118">
        <f t="shared" ref="G32:I32" si="1">SUM(G10:G30)</f>
        <v>455610</v>
      </c>
      <c r="H32" s="118">
        <f t="shared" si="1"/>
        <v>422892.56000000006</v>
      </c>
      <c r="I32" s="118">
        <f t="shared" si="1"/>
        <v>695549.95</v>
      </c>
      <c r="J32" s="67">
        <f>SUM(J10:J30)</f>
        <v>2151131.5099999998</v>
      </c>
    </row>
    <row r="33" spans="2:5" ht="17.45" customHeight="1">
      <c r="B33" s="4"/>
      <c r="C33" s="4"/>
      <c r="D33" s="4"/>
      <c r="E33" s="4"/>
    </row>
    <row r="34" spans="2:5" ht="15.75">
      <c r="B34" s="152"/>
      <c r="C34" s="32"/>
    </row>
    <row r="35" spans="2:5" ht="15.75">
      <c r="B35" s="37" t="s">
        <v>0</v>
      </c>
      <c r="C35" s="4"/>
      <c r="D35" s="4"/>
      <c r="E35" s="4"/>
    </row>
    <row r="36" spans="2:5">
      <c r="B36" t="s">
        <v>0</v>
      </c>
    </row>
    <row r="37" spans="2:5">
      <c r="B37" t="s">
        <v>0</v>
      </c>
    </row>
  </sheetData>
  <mergeCells count="5">
    <mergeCell ref="K20:M20"/>
    <mergeCell ref="N20:R20"/>
    <mergeCell ref="K18:M18"/>
    <mergeCell ref="K28:M28"/>
    <mergeCell ref="K30:M30"/>
  </mergeCells>
  <pageMargins left="0.7" right="0.7" top="0.75" bottom="0.75" header="0.3" footer="0.3"/>
  <pageSetup scale="80" orientation="landscape" r:id="rId1"/>
  <headerFooter>
    <oddFooter xml:space="preserve">&amp;L&amp;"SWISS,Bold"&amp;10Report Date:  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1:J80"/>
  <sheetViews>
    <sheetView workbookViewId="0">
      <selection activeCell="I10" sqref="I10"/>
    </sheetView>
  </sheetViews>
  <sheetFormatPr defaultRowHeight="15"/>
  <cols>
    <col min="1" max="1" width="2.33203125" customWidth="1"/>
    <col min="2" max="2" width="7.6640625" bestFit="1" customWidth="1"/>
    <col min="3" max="3" width="36.44140625" customWidth="1"/>
    <col min="4" max="4" width="12.21875" customWidth="1"/>
    <col min="5" max="5" width="12.44140625" customWidth="1"/>
    <col min="6" max="6" width="11.44140625" customWidth="1"/>
    <col min="7" max="7" width="12.109375" customWidth="1"/>
    <col min="8" max="8" width="15.88671875" customWidth="1"/>
  </cols>
  <sheetData>
    <row r="1" spans="2:10" ht="12" customHeight="1"/>
    <row r="2" spans="2:10">
      <c r="B2" s="193" t="s">
        <v>1</v>
      </c>
      <c r="C2" s="194"/>
      <c r="D2" s="194"/>
      <c r="E2" s="194"/>
      <c r="F2" s="194"/>
      <c r="G2" s="194"/>
      <c r="H2" s="194"/>
    </row>
    <row r="3" spans="2:10">
      <c r="B3" s="195" t="s">
        <v>110</v>
      </c>
      <c r="C3" s="196"/>
      <c r="D3" s="196"/>
      <c r="E3" s="196"/>
      <c r="F3" s="196"/>
      <c r="G3" s="196"/>
      <c r="H3" s="196"/>
    </row>
    <row r="4" spans="2:10">
      <c r="B4" s="195" t="s">
        <v>159</v>
      </c>
      <c r="C4" s="196"/>
      <c r="D4" s="196"/>
      <c r="E4" s="196"/>
      <c r="F4" s="196"/>
      <c r="G4" s="196"/>
      <c r="H4" s="196"/>
    </row>
    <row r="5" spans="2:10">
      <c r="B5" s="161" t="s">
        <v>2</v>
      </c>
      <c r="C5" s="148" t="s">
        <v>2</v>
      </c>
      <c r="D5" s="148" t="s">
        <v>2</v>
      </c>
      <c r="E5" s="148" t="s">
        <v>2</v>
      </c>
      <c r="F5" s="148" t="s">
        <v>2</v>
      </c>
      <c r="G5" s="148" t="s">
        <v>2</v>
      </c>
      <c r="H5" s="148"/>
    </row>
    <row r="6" spans="2:10">
      <c r="B6" s="197" t="s">
        <v>156</v>
      </c>
      <c r="C6" s="199" t="s">
        <v>10</v>
      </c>
      <c r="D6" s="150" t="s">
        <v>3</v>
      </c>
      <c r="E6" s="149" t="s">
        <v>4</v>
      </c>
      <c r="F6" s="149" t="s">
        <v>5</v>
      </c>
      <c r="G6" s="75" t="s">
        <v>6</v>
      </c>
      <c r="H6" s="47"/>
    </row>
    <row r="7" spans="2:10">
      <c r="B7" s="197"/>
      <c r="C7" s="199"/>
      <c r="D7" s="75" t="s">
        <v>7</v>
      </c>
      <c r="E7" s="75" t="s">
        <v>8</v>
      </c>
      <c r="F7" s="75" t="s">
        <v>7</v>
      </c>
      <c r="G7" s="75" t="s">
        <v>73</v>
      </c>
      <c r="H7" s="165" t="s">
        <v>9</v>
      </c>
    </row>
    <row r="8" spans="2:10">
      <c r="B8" s="198"/>
      <c r="C8" s="200"/>
      <c r="D8" s="79" t="s">
        <v>11</v>
      </c>
      <c r="E8" s="79" t="s">
        <v>12</v>
      </c>
      <c r="F8" s="136" t="s">
        <v>13</v>
      </c>
      <c r="G8" s="79" t="s">
        <v>14</v>
      </c>
      <c r="H8" s="165" t="s">
        <v>15</v>
      </c>
    </row>
    <row r="9" spans="2:10" ht="15.75">
      <c r="B9" s="167" t="s">
        <v>16</v>
      </c>
      <c r="C9" s="175" t="s">
        <v>17</v>
      </c>
      <c r="D9" s="181">
        <v>130441</v>
      </c>
      <c r="E9" s="182">
        <f>272763-D9</f>
        <v>142322</v>
      </c>
      <c r="F9" s="182">
        <f>372656-E9-D9</f>
        <v>99893</v>
      </c>
      <c r="G9" s="182">
        <f>566512-F9-E9-D9</f>
        <v>193856</v>
      </c>
      <c r="H9" s="183">
        <f>D9+E9+F9+G9</f>
        <v>566512</v>
      </c>
      <c r="I9" s="139"/>
      <c r="J9" s="139"/>
    </row>
    <row r="10" spans="2:10" ht="15.75">
      <c r="B10" s="130">
        <v>0.05</v>
      </c>
      <c r="C10" s="89" t="s">
        <v>78</v>
      </c>
      <c r="D10" s="182">
        <v>1860205</v>
      </c>
      <c r="E10" s="182">
        <f>3493189-D10</f>
        <v>1632984</v>
      </c>
      <c r="F10" s="182">
        <f>5023274-E10-D10</f>
        <v>1530085</v>
      </c>
      <c r="G10" s="182">
        <f>8177303-F10-E10-D10</f>
        <v>3154029</v>
      </c>
      <c r="H10" s="183">
        <f t="shared" ref="H10:H73" si="0">D10+E10+F10+G10</f>
        <v>8177303</v>
      </c>
      <c r="I10" s="139"/>
      <c r="J10" s="139"/>
    </row>
    <row r="11" spans="2:10" ht="15.75">
      <c r="B11" s="130">
        <v>0.01</v>
      </c>
      <c r="C11" s="89" t="s">
        <v>81</v>
      </c>
      <c r="D11" s="182">
        <v>372041</v>
      </c>
      <c r="E11" s="182">
        <f>698638-D11</f>
        <v>326597</v>
      </c>
      <c r="F11" s="182">
        <f>1004655-E11-D11</f>
        <v>306017</v>
      </c>
      <c r="G11" s="182">
        <f>1635460-F11-E11-D11</f>
        <v>630805</v>
      </c>
      <c r="H11" s="183">
        <f t="shared" si="0"/>
        <v>1635460</v>
      </c>
      <c r="I11" s="139"/>
      <c r="J11" s="139"/>
    </row>
    <row r="12" spans="2:10" ht="15.75">
      <c r="B12" s="167" t="s">
        <v>16</v>
      </c>
      <c r="C12" s="89" t="s">
        <v>18</v>
      </c>
      <c r="D12" s="182">
        <v>95026.86</v>
      </c>
      <c r="E12" s="182">
        <f>157031.59-D12</f>
        <v>62004.729999999996</v>
      </c>
      <c r="F12" s="182">
        <f>412996.76-E12-D12</f>
        <v>255965.17000000004</v>
      </c>
      <c r="G12" s="182">
        <f>585047.82-F12-E12-D12</f>
        <v>172051.05999999994</v>
      </c>
      <c r="H12" s="183">
        <f t="shared" si="0"/>
        <v>585047.81999999995</v>
      </c>
      <c r="I12" s="139"/>
      <c r="J12" s="184"/>
    </row>
    <row r="13" spans="2:10" ht="15.75">
      <c r="B13" s="167" t="s">
        <v>16</v>
      </c>
      <c r="C13" s="89" t="s">
        <v>19</v>
      </c>
      <c r="D13" s="182">
        <v>97860</v>
      </c>
      <c r="E13" s="182">
        <f>161945-D13</f>
        <v>64085</v>
      </c>
      <c r="F13" s="182">
        <f>220368-E13-D13</f>
        <v>58423</v>
      </c>
      <c r="G13" s="182">
        <f>314860-F13-E13-D13</f>
        <v>94492</v>
      </c>
      <c r="H13" s="183">
        <f>D13+E13+F13+G13</f>
        <v>314860</v>
      </c>
      <c r="I13" s="139"/>
      <c r="J13" s="184"/>
    </row>
    <row r="14" spans="2:10" ht="15.75">
      <c r="B14" s="167" t="s">
        <v>16</v>
      </c>
      <c r="C14" s="89" t="s">
        <v>20</v>
      </c>
      <c r="D14" s="182">
        <v>7838</v>
      </c>
      <c r="E14" s="182">
        <f>14332-D14</f>
        <v>6494</v>
      </c>
      <c r="F14" s="182">
        <f>17066-E14-D14</f>
        <v>2734</v>
      </c>
      <c r="G14" s="182">
        <f>31199-F14-E14-D14</f>
        <v>14133</v>
      </c>
      <c r="H14" s="183">
        <f t="shared" si="0"/>
        <v>31199</v>
      </c>
      <c r="I14" s="139"/>
      <c r="J14" s="139"/>
    </row>
    <row r="15" spans="2:10" ht="15.75">
      <c r="B15" s="130">
        <v>0.04</v>
      </c>
      <c r="C15" s="89" t="s">
        <v>21</v>
      </c>
      <c r="D15" s="182">
        <v>11067</v>
      </c>
      <c r="E15" s="182">
        <f>18708-D15</f>
        <v>7641</v>
      </c>
      <c r="F15" s="182">
        <f>10127</f>
        <v>10127</v>
      </c>
      <c r="G15" s="182">
        <v>20811</v>
      </c>
      <c r="H15" s="183">
        <f t="shared" si="0"/>
        <v>49646</v>
      </c>
      <c r="I15" s="139"/>
      <c r="J15" s="139"/>
    </row>
    <row r="16" spans="2:10" ht="15.75">
      <c r="B16" s="167" t="s">
        <v>22</v>
      </c>
      <c r="C16" s="89" t="s">
        <v>23</v>
      </c>
      <c r="D16" s="182">
        <v>24749</v>
      </c>
      <c r="E16" s="182">
        <f>43914-D16</f>
        <v>19165</v>
      </c>
      <c r="F16" s="182">
        <f>59698-E16-D16</f>
        <v>15784</v>
      </c>
      <c r="G16" s="182">
        <f>110362-F16-E16-D16</f>
        <v>50664</v>
      </c>
      <c r="H16" s="183">
        <f t="shared" si="0"/>
        <v>110362</v>
      </c>
      <c r="I16" s="139"/>
      <c r="J16" s="139"/>
    </row>
    <row r="17" spans="2:10" ht="15.75">
      <c r="B17" s="130">
        <v>0.03</v>
      </c>
      <c r="C17" s="89" t="s">
        <v>75</v>
      </c>
      <c r="D17" s="182">
        <v>14136</v>
      </c>
      <c r="E17" s="182">
        <f>25285-D17</f>
        <v>11149</v>
      </c>
      <c r="F17" s="182">
        <f>35969-E17-D17</f>
        <v>10684</v>
      </c>
      <c r="G17" s="182">
        <f>49695-F17-E17-D17</f>
        <v>13726</v>
      </c>
      <c r="H17" s="183">
        <f t="shared" si="0"/>
        <v>49695</v>
      </c>
      <c r="I17" s="139"/>
      <c r="J17" s="139"/>
    </row>
    <row r="18" spans="2:10" ht="15.75">
      <c r="B18" s="130">
        <v>0.03</v>
      </c>
      <c r="C18" s="89" t="s">
        <v>76</v>
      </c>
      <c r="D18" s="182">
        <f>915</f>
        <v>915</v>
      </c>
      <c r="E18" s="182">
        <v>1374</v>
      </c>
      <c r="F18" s="182">
        <v>595</v>
      </c>
      <c r="G18" s="182">
        <v>1181</v>
      </c>
      <c r="H18" s="183">
        <f t="shared" si="0"/>
        <v>4065</v>
      </c>
      <c r="I18" s="139"/>
      <c r="J18" s="139"/>
    </row>
    <row r="19" spans="2:10" ht="15.75">
      <c r="B19" s="130">
        <v>0.05</v>
      </c>
      <c r="C19" s="89" t="s">
        <v>24</v>
      </c>
      <c r="D19" s="182">
        <f>754504-319841</f>
        <v>434663</v>
      </c>
      <c r="E19" s="182">
        <f>319841</f>
        <v>319841</v>
      </c>
      <c r="F19" s="182">
        <f>1108551-E19-D19</f>
        <v>354047</v>
      </c>
      <c r="G19" s="182">
        <f>1586253-F19-E19-D19</f>
        <v>477702</v>
      </c>
      <c r="H19" s="183">
        <f t="shared" si="0"/>
        <v>1586253</v>
      </c>
      <c r="I19" s="139"/>
      <c r="J19" s="139"/>
    </row>
    <row r="20" spans="2:10" ht="15.75">
      <c r="B20" s="167" t="s">
        <v>22</v>
      </c>
      <c r="C20" s="89" t="s">
        <v>25</v>
      </c>
      <c r="D20" s="182">
        <v>1253.22</v>
      </c>
      <c r="E20" s="182">
        <f>4896.33-D20</f>
        <v>3643.1099999999997</v>
      </c>
      <c r="F20" s="182">
        <f>3519</f>
        <v>3519</v>
      </c>
      <c r="G20" s="182">
        <f>4488</f>
        <v>4488</v>
      </c>
      <c r="H20" s="183">
        <f t="shared" si="0"/>
        <v>12903.33</v>
      </c>
      <c r="I20" s="139"/>
      <c r="J20" s="139"/>
    </row>
    <row r="21" spans="2:10" ht="15.75">
      <c r="B21" s="130">
        <v>0.05</v>
      </c>
      <c r="C21" s="89" t="s">
        <v>26</v>
      </c>
      <c r="D21" s="182">
        <v>50504</v>
      </c>
      <c r="E21" s="182">
        <f>93700-D21</f>
        <v>43196</v>
      </c>
      <c r="F21" s="182">
        <f>123854-50504-43196-20642</f>
        <v>9512</v>
      </c>
      <c r="G21" s="182">
        <f>123854-F21-E21-D21</f>
        <v>20642</v>
      </c>
      <c r="H21" s="183">
        <f t="shared" si="0"/>
        <v>123854</v>
      </c>
      <c r="I21" s="139"/>
      <c r="J21" s="139"/>
    </row>
    <row r="22" spans="2:10" ht="15.75">
      <c r="B22" s="167" t="s">
        <v>27</v>
      </c>
      <c r="C22" s="89" t="s">
        <v>28</v>
      </c>
      <c r="D22" s="182">
        <f>3686</f>
        <v>3686</v>
      </c>
      <c r="E22" s="182">
        <f>7838-D22</f>
        <v>4152</v>
      </c>
      <c r="F22" s="182">
        <f>9597-E22-D22</f>
        <v>1759</v>
      </c>
      <c r="G22" s="182">
        <f>12023-F22-E22-D22</f>
        <v>2426</v>
      </c>
      <c r="H22" s="183">
        <f t="shared" si="0"/>
        <v>12023</v>
      </c>
      <c r="I22" s="139"/>
      <c r="J22" s="139"/>
    </row>
    <row r="23" spans="2:10" ht="15.75">
      <c r="B23" s="130">
        <v>0.05</v>
      </c>
      <c r="C23" s="89" t="s">
        <v>29</v>
      </c>
      <c r="D23" s="182">
        <f>46795</f>
        <v>46795</v>
      </c>
      <c r="E23" s="182">
        <f>85991-D23</f>
        <v>39196</v>
      </c>
      <c r="F23" s="182">
        <f>109012-E23-D23</f>
        <v>23021</v>
      </c>
      <c r="G23" s="182">
        <f>150501-F23-E23-D23</f>
        <v>41489</v>
      </c>
      <c r="H23" s="183">
        <f t="shared" si="0"/>
        <v>150501</v>
      </c>
      <c r="I23" s="139"/>
      <c r="J23" s="139"/>
    </row>
    <row r="24" spans="2:10" ht="15.75">
      <c r="B24" s="130">
        <v>0.05</v>
      </c>
      <c r="C24" s="89" t="s">
        <v>77</v>
      </c>
      <c r="D24" s="182">
        <f>38001</f>
        <v>38001</v>
      </c>
      <c r="E24" s="182">
        <f>69274-D24</f>
        <v>31273</v>
      </c>
      <c r="F24" s="182">
        <f>89104-E24-D24</f>
        <v>19830</v>
      </c>
      <c r="G24" s="182">
        <f>110364-F24-E24-D24</f>
        <v>21260</v>
      </c>
      <c r="H24" s="183">
        <f t="shared" si="0"/>
        <v>110364</v>
      </c>
      <c r="I24" s="139"/>
      <c r="J24" s="139"/>
    </row>
    <row r="25" spans="2:10" ht="15.75">
      <c r="B25" s="130">
        <v>0.05</v>
      </c>
      <c r="C25" s="89" t="s">
        <v>30</v>
      </c>
      <c r="D25" s="182">
        <f>125330</f>
        <v>125330</v>
      </c>
      <c r="E25" s="182">
        <f>214280-D25</f>
        <v>88950</v>
      </c>
      <c r="F25" s="182">
        <f>359736-E25-D25</f>
        <v>145456</v>
      </c>
      <c r="G25" s="182">
        <f>514126-F25-E25-D25</f>
        <v>154390</v>
      </c>
      <c r="H25" s="183">
        <f t="shared" si="0"/>
        <v>514126</v>
      </c>
      <c r="I25" s="139"/>
      <c r="J25" s="139"/>
    </row>
    <row r="26" spans="2:10" ht="15.75">
      <c r="B26" s="130">
        <v>0.05</v>
      </c>
      <c r="C26" s="89" t="s">
        <v>31</v>
      </c>
      <c r="D26" s="182">
        <f>1192</f>
        <v>1192</v>
      </c>
      <c r="E26" s="182">
        <f>2515-D26</f>
        <v>1323</v>
      </c>
      <c r="F26" s="182">
        <f>3244-E26-D26</f>
        <v>729</v>
      </c>
      <c r="G26" s="182">
        <f>4215-F26-E26-D26</f>
        <v>971</v>
      </c>
      <c r="H26" s="183">
        <f>D26+E26+F26+G26</f>
        <v>4215</v>
      </c>
      <c r="I26" s="139"/>
      <c r="J26" s="139"/>
    </row>
    <row r="27" spans="2:10" ht="15.75">
      <c r="B27" s="176">
        <v>3.5000000000000003E-2</v>
      </c>
      <c r="C27" s="89" t="s">
        <v>74</v>
      </c>
      <c r="D27" s="182">
        <f>2162</f>
        <v>2162</v>
      </c>
      <c r="E27" s="182">
        <f>2505-D27</f>
        <v>343</v>
      </c>
      <c r="F27" s="182">
        <f>3438-E27-D27</f>
        <v>933</v>
      </c>
      <c r="G27" s="182">
        <f>6017-F27-E27-D27</f>
        <v>2579</v>
      </c>
      <c r="H27" s="183">
        <f t="shared" si="0"/>
        <v>6017</v>
      </c>
      <c r="I27" s="139"/>
      <c r="J27" s="139"/>
    </row>
    <row r="28" spans="2:10" ht="15.75">
      <c r="B28" s="167" t="s">
        <v>22</v>
      </c>
      <c r="C28" s="89" t="s">
        <v>32</v>
      </c>
      <c r="D28" s="182">
        <v>1352</v>
      </c>
      <c r="E28" s="182">
        <f>4397-D28</f>
        <v>3045</v>
      </c>
      <c r="F28" s="182">
        <f>6881.24-E28-D28</f>
        <v>2484.2399999999998</v>
      </c>
      <c r="G28" s="182">
        <f>10875.27-F28-E28-D28</f>
        <v>3994.0300000000007</v>
      </c>
      <c r="H28" s="183">
        <f t="shared" si="0"/>
        <v>10875.27</v>
      </c>
      <c r="I28" s="139"/>
      <c r="J28" s="139"/>
    </row>
    <row r="29" spans="2:10" ht="15.75">
      <c r="B29" s="177" t="s">
        <v>16</v>
      </c>
      <c r="C29" s="89" t="s">
        <v>80</v>
      </c>
      <c r="D29" s="182">
        <f>113727</f>
        <v>113727</v>
      </c>
      <c r="E29" s="182">
        <f>218653-D29</f>
        <v>104926</v>
      </c>
      <c r="F29" s="182">
        <f>323033-E29-D29</f>
        <v>104380</v>
      </c>
      <c r="G29" s="182">
        <f>429622-F29-E29-D29</f>
        <v>106589</v>
      </c>
      <c r="H29" s="183">
        <f t="shared" si="0"/>
        <v>429622</v>
      </c>
      <c r="I29" s="139"/>
      <c r="J29" s="139"/>
    </row>
    <row r="30" spans="2:10" ht="15.75">
      <c r="B30" s="167" t="s">
        <v>22</v>
      </c>
      <c r="C30" s="89" t="s">
        <v>33</v>
      </c>
      <c r="D30" s="182">
        <f>21632</f>
        <v>21632</v>
      </c>
      <c r="E30" s="182">
        <f>34997-D30</f>
        <v>13365</v>
      </c>
      <c r="F30" s="182">
        <f>42387-E30-D30</f>
        <v>7390</v>
      </c>
      <c r="G30" s="182">
        <f>53203-F30-E30-D30</f>
        <v>10816</v>
      </c>
      <c r="H30" s="183">
        <f t="shared" si="0"/>
        <v>53203</v>
      </c>
      <c r="I30" s="139"/>
      <c r="J30" s="139"/>
    </row>
    <row r="31" spans="2:10" ht="15.75">
      <c r="B31" s="130">
        <v>0.05</v>
      </c>
      <c r="C31" s="89" t="s">
        <v>72</v>
      </c>
      <c r="D31" s="182">
        <f>7342</f>
        <v>7342</v>
      </c>
      <c r="E31" s="182">
        <f>10672-D31</f>
        <v>3330</v>
      </c>
      <c r="F31" s="182">
        <f>14383-E31-D31</f>
        <v>3711</v>
      </c>
      <c r="G31" s="182">
        <f>24356-F31-E31-D31</f>
        <v>9973</v>
      </c>
      <c r="H31" s="183">
        <f t="shared" si="0"/>
        <v>24356</v>
      </c>
      <c r="I31" s="139"/>
      <c r="J31" s="139"/>
    </row>
    <row r="32" spans="2:10" ht="15.75">
      <c r="B32" s="130">
        <v>0.05</v>
      </c>
      <c r="C32" s="89" t="s">
        <v>34</v>
      </c>
      <c r="D32" s="182">
        <f>9620</f>
        <v>9620</v>
      </c>
      <c r="E32" s="182">
        <f>33717-D32</f>
        <v>24097</v>
      </c>
      <c r="F32" s="182">
        <v>17110</v>
      </c>
      <c r="G32" s="182">
        <f>67366-F32-E32-D32</f>
        <v>16539</v>
      </c>
      <c r="H32" s="183">
        <f t="shared" si="0"/>
        <v>67366</v>
      </c>
      <c r="I32" s="139"/>
      <c r="J32" s="139"/>
    </row>
    <row r="33" spans="2:10" ht="15.75">
      <c r="B33" s="167" t="s">
        <v>16</v>
      </c>
      <c r="C33" s="89" t="s">
        <v>35</v>
      </c>
      <c r="D33" s="182">
        <f>245825</f>
        <v>245825</v>
      </c>
      <c r="E33" s="182">
        <f>547776-D33</f>
        <v>301951</v>
      </c>
      <c r="F33" s="182">
        <f>680264-E33-D33</f>
        <v>132488</v>
      </c>
      <c r="G33" s="182">
        <f>866277-F33-E33-D33</f>
        <v>186013</v>
      </c>
      <c r="H33" s="183">
        <f t="shared" si="0"/>
        <v>866277</v>
      </c>
      <c r="I33" s="139"/>
      <c r="J33" s="139"/>
    </row>
    <row r="34" spans="2:10" ht="15.75">
      <c r="B34" s="166">
        <v>2.5</v>
      </c>
      <c r="C34" s="89" t="s">
        <v>152</v>
      </c>
      <c r="D34" s="182">
        <v>119397</v>
      </c>
      <c r="E34" s="182">
        <v>162901</v>
      </c>
      <c r="F34" s="182">
        <v>76219</v>
      </c>
      <c r="G34" s="182">
        <f>312894</f>
        <v>312894</v>
      </c>
      <c r="H34" s="183">
        <f t="shared" si="0"/>
        <v>671411</v>
      </c>
      <c r="I34" s="139"/>
      <c r="J34" s="139"/>
    </row>
    <row r="35" spans="2:10" ht="15.75">
      <c r="B35" s="167" t="s">
        <v>16</v>
      </c>
      <c r="C35" s="89" t="s">
        <v>36</v>
      </c>
      <c r="D35" s="182">
        <v>4686</v>
      </c>
      <c r="E35" s="182">
        <f>13423-D35</f>
        <v>8737</v>
      </c>
      <c r="F35" s="182">
        <f>17335-E35-D35</f>
        <v>3912</v>
      </c>
      <c r="G35" s="182">
        <v>24903.75</v>
      </c>
      <c r="H35" s="183">
        <f t="shared" si="0"/>
        <v>42238.75</v>
      </c>
      <c r="I35" s="139"/>
      <c r="J35" s="139"/>
    </row>
    <row r="36" spans="2:10" ht="15.75">
      <c r="B36" s="167" t="s">
        <v>16</v>
      </c>
      <c r="C36" s="89" t="s">
        <v>37</v>
      </c>
      <c r="D36" s="182">
        <f>334568</f>
        <v>334568</v>
      </c>
      <c r="E36" s="182">
        <f>682901-D36</f>
        <v>348333</v>
      </c>
      <c r="F36" s="182">
        <f>1028084-E36-D36</f>
        <v>345183</v>
      </c>
      <c r="G36" s="182">
        <f>1514472-F36-E36-D36</f>
        <v>486388</v>
      </c>
      <c r="H36" s="183">
        <f t="shared" si="0"/>
        <v>1514472</v>
      </c>
      <c r="I36" s="139"/>
      <c r="J36" s="139"/>
    </row>
    <row r="37" spans="2:10" ht="15.75">
      <c r="B37" s="167" t="s">
        <v>16</v>
      </c>
      <c r="C37" s="89" t="s">
        <v>38</v>
      </c>
      <c r="D37" s="182">
        <f>89268</f>
        <v>89268</v>
      </c>
      <c r="E37" s="182">
        <f>174993-D37</f>
        <v>85725</v>
      </c>
      <c r="F37" s="182">
        <f>243519-E37-D37</f>
        <v>68526</v>
      </c>
      <c r="G37" s="182">
        <f>376692-F37-E37-D37</f>
        <v>133173</v>
      </c>
      <c r="H37" s="183">
        <f t="shared" si="0"/>
        <v>376692</v>
      </c>
      <c r="I37" s="139"/>
      <c r="J37" s="139"/>
    </row>
    <row r="38" spans="2:10" ht="15.75">
      <c r="B38" s="167" t="s">
        <v>22</v>
      </c>
      <c r="C38" s="89" t="s">
        <v>39</v>
      </c>
      <c r="D38" s="182">
        <f>393</f>
        <v>393</v>
      </c>
      <c r="E38" s="182">
        <f>614.55-D38</f>
        <v>221.54999999999995</v>
      </c>
      <c r="F38" s="182">
        <f>766.16-E38-D38</f>
        <v>151.61000000000001</v>
      </c>
      <c r="G38" s="182">
        <f>766.16-F38-E38-D38</f>
        <v>0</v>
      </c>
      <c r="H38" s="183">
        <f t="shared" si="0"/>
        <v>766.16</v>
      </c>
      <c r="I38" s="139"/>
      <c r="J38" s="139"/>
    </row>
    <row r="39" spans="2:10" ht="15.75">
      <c r="B39" s="130">
        <v>0.05</v>
      </c>
      <c r="C39" s="89" t="s">
        <v>40</v>
      </c>
      <c r="D39" s="182">
        <f>163505</f>
        <v>163505</v>
      </c>
      <c r="E39" s="182">
        <f>320504-D39</f>
        <v>156999</v>
      </c>
      <c r="F39" s="182">
        <f>481387-E39-D39</f>
        <v>160883</v>
      </c>
      <c r="G39" s="182">
        <f>710404-F39-E39-D39</f>
        <v>229017</v>
      </c>
      <c r="H39" s="183">
        <f t="shared" si="0"/>
        <v>710404</v>
      </c>
      <c r="I39" s="139"/>
      <c r="J39" s="139"/>
    </row>
    <row r="40" spans="2:10" ht="15.75">
      <c r="B40" s="167" t="s">
        <v>16</v>
      </c>
      <c r="C40" s="89" t="s">
        <v>42</v>
      </c>
      <c r="D40" s="182">
        <v>3572</v>
      </c>
      <c r="E40" s="182">
        <f>4459-D40</f>
        <v>887</v>
      </c>
      <c r="F40" s="182">
        <f>6640-E40-D40</f>
        <v>2181</v>
      </c>
      <c r="G40" s="185">
        <f>9837-F40-E40-D40</f>
        <v>3197</v>
      </c>
      <c r="H40" s="183">
        <f t="shared" si="0"/>
        <v>9837</v>
      </c>
      <c r="I40" s="139"/>
      <c r="J40" s="184"/>
    </row>
    <row r="41" spans="2:10" ht="15.75">
      <c r="B41" s="167" t="s">
        <v>16</v>
      </c>
      <c r="C41" s="89" t="s">
        <v>43</v>
      </c>
      <c r="D41" s="182">
        <v>361766</v>
      </c>
      <c r="E41" s="182">
        <f>724588-D41</f>
        <v>362822</v>
      </c>
      <c r="F41" s="182">
        <f>1023440-E41-D41</f>
        <v>298852</v>
      </c>
      <c r="G41" s="182">
        <f>1755565-F41-E41-D41</f>
        <v>732125</v>
      </c>
      <c r="H41" s="183">
        <f t="shared" si="0"/>
        <v>1755565</v>
      </c>
      <c r="I41" s="139"/>
      <c r="J41" s="139"/>
    </row>
    <row r="42" spans="2:10" ht="15.75">
      <c r="B42" s="166">
        <v>2.5</v>
      </c>
      <c r="C42" s="89" t="s">
        <v>148</v>
      </c>
      <c r="D42" s="182">
        <v>234863</v>
      </c>
      <c r="E42" s="182">
        <f>461987-D42</f>
        <v>227124</v>
      </c>
      <c r="F42" s="182">
        <f>660565-E42-D42</f>
        <v>198578</v>
      </c>
      <c r="G42" s="182">
        <f>1080733-F42-E42-D42</f>
        <v>420168</v>
      </c>
      <c r="H42" s="183">
        <f t="shared" si="0"/>
        <v>1080733</v>
      </c>
      <c r="I42" s="139"/>
      <c r="J42" s="139"/>
    </row>
    <row r="43" spans="2:10" ht="15.75">
      <c r="B43" s="167" t="s">
        <v>27</v>
      </c>
      <c r="C43" s="89" t="s">
        <v>44</v>
      </c>
      <c r="D43" s="182">
        <f>93725</f>
        <v>93725</v>
      </c>
      <c r="E43" s="182">
        <f>171679-D43</f>
        <v>77954</v>
      </c>
      <c r="F43" s="182">
        <f>272618-E43-D43</f>
        <v>100939</v>
      </c>
      <c r="G43" s="182">
        <f>448688-F43-E43-D43</f>
        <v>176070</v>
      </c>
      <c r="H43" s="183">
        <f t="shared" si="0"/>
        <v>448688</v>
      </c>
      <c r="I43" s="139"/>
      <c r="J43" s="139"/>
    </row>
    <row r="44" spans="2:10" ht="15.75">
      <c r="B44" s="167" t="s">
        <v>22</v>
      </c>
      <c r="C44" s="89" t="s">
        <v>45</v>
      </c>
      <c r="D44" s="182">
        <v>2992</v>
      </c>
      <c r="E44" s="182">
        <f>4524-2992</f>
        <v>1532</v>
      </c>
      <c r="F44" s="182">
        <f>5346-E44-D44</f>
        <v>822</v>
      </c>
      <c r="G44" s="182">
        <f>8006-F44-E44-D44</f>
        <v>2660</v>
      </c>
      <c r="H44" s="183">
        <f t="shared" si="0"/>
        <v>8006</v>
      </c>
      <c r="I44" s="139"/>
      <c r="J44" s="139"/>
    </row>
    <row r="45" spans="2:10" ht="15.75">
      <c r="B45" s="167" t="s">
        <v>16</v>
      </c>
      <c r="C45" s="89" t="s">
        <v>46</v>
      </c>
      <c r="D45" s="182">
        <f>42576</f>
        <v>42576</v>
      </c>
      <c r="E45" s="182">
        <f>79137-D45</f>
        <v>36561</v>
      </c>
      <c r="F45" s="182">
        <f>127884-E45-D45</f>
        <v>48747</v>
      </c>
      <c r="G45" s="182">
        <f>179286-F45-E45-D45</f>
        <v>51402</v>
      </c>
      <c r="H45" s="183">
        <f t="shared" si="0"/>
        <v>179286</v>
      </c>
      <c r="I45" s="139"/>
      <c r="J45" s="139"/>
    </row>
    <row r="46" spans="2:10" ht="15.75">
      <c r="B46" s="167" t="s">
        <v>27</v>
      </c>
      <c r="C46" s="89" t="s">
        <v>48</v>
      </c>
      <c r="D46" s="182">
        <f>17523</f>
        <v>17523</v>
      </c>
      <c r="E46" s="182">
        <f>63232-D46</f>
        <v>45709</v>
      </c>
      <c r="F46" s="182">
        <f>14373</f>
        <v>14373</v>
      </c>
      <c r="G46" s="182">
        <f>87526-F46-E46-D46</f>
        <v>9921</v>
      </c>
      <c r="H46" s="183">
        <f t="shared" si="0"/>
        <v>87526</v>
      </c>
      <c r="I46" s="139"/>
      <c r="J46" s="139"/>
    </row>
    <row r="47" spans="2:10" ht="15.75">
      <c r="B47" s="177" t="s">
        <v>16</v>
      </c>
      <c r="C47" s="89" t="s">
        <v>49</v>
      </c>
      <c r="D47" s="182">
        <f>36460</f>
        <v>36460</v>
      </c>
      <c r="E47" s="182">
        <f>55857-D47</f>
        <v>19397</v>
      </c>
      <c r="F47" s="182">
        <f>78103.34-E47-D47</f>
        <v>22246.339999999997</v>
      </c>
      <c r="G47" s="182">
        <f>100602.07-F47-E47-D47</f>
        <v>22498.73000000001</v>
      </c>
      <c r="H47" s="183">
        <f t="shared" si="0"/>
        <v>100602.07</v>
      </c>
      <c r="I47" s="139"/>
      <c r="J47" s="139"/>
    </row>
    <row r="48" spans="2:10" ht="15.75">
      <c r="B48" s="130">
        <v>0.04</v>
      </c>
      <c r="C48" s="89" t="s">
        <v>50</v>
      </c>
      <c r="D48" s="182">
        <f>410</f>
        <v>410</v>
      </c>
      <c r="E48" s="182">
        <f>527</f>
        <v>527</v>
      </c>
      <c r="F48" s="182">
        <f>2171.5-E48-D48</f>
        <v>1234.5</v>
      </c>
      <c r="G48" s="182">
        <f>3690.57-F48-E48-D48</f>
        <v>1519.0700000000002</v>
      </c>
      <c r="H48" s="183">
        <f t="shared" si="0"/>
        <v>3690.57</v>
      </c>
      <c r="I48" s="139"/>
      <c r="J48" s="139"/>
    </row>
    <row r="49" spans="2:10" ht="15.75">
      <c r="B49" s="167" t="s">
        <v>16</v>
      </c>
      <c r="C49" s="89" t="s">
        <v>122</v>
      </c>
      <c r="D49" s="182">
        <f>5111-2991</f>
        <v>2120</v>
      </c>
      <c r="E49" s="182">
        <f>5111-D49</f>
        <v>2991</v>
      </c>
      <c r="F49" s="182">
        <f>9270-E49-D49</f>
        <v>4159</v>
      </c>
      <c r="G49" s="182">
        <f>14585-F49-E49-D49</f>
        <v>5315</v>
      </c>
      <c r="H49" s="183">
        <f t="shared" si="0"/>
        <v>14585</v>
      </c>
      <c r="I49" s="139"/>
      <c r="J49" s="139"/>
    </row>
    <row r="50" spans="2:10" ht="15.75">
      <c r="B50" s="167" t="s">
        <v>22</v>
      </c>
      <c r="C50" s="89" t="s">
        <v>51</v>
      </c>
      <c r="D50" s="182">
        <v>0</v>
      </c>
      <c r="E50" s="182">
        <f>699-D50</f>
        <v>699</v>
      </c>
      <c r="F50" s="182">
        <f>919-E50</f>
        <v>220</v>
      </c>
      <c r="G50" s="182">
        <f>1270-F50-E50-D50</f>
        <v>351</v>
      </c>
      <c r="H50" s="183">
        <f t="shared" si="0"/>
        <v>1270</v>
      </c>
      <c r="I50" s="139"/>
      <c r="J50" s="139"/>
    </row>
    <row r="51" spans="2:10" ht="15.75">
      <c r="B51" s="167" t="s">
        <v>16</v>
      </c>
      <c r="C51" s="89" t="s">
        <v>52</v>
      </c>
      <c r="D51" s="182">
        <v>57102</v>
      </c>
      <c r="E51" s="182">
        <f>179846-D51</f>
        <v>122744</v>
      </c>
      <c r="F51" s="182">
        <f>179846-E51-D51</f>
        <v>0</v>
      </c>
      <c r="G51" s="182">
        <f>263435-F51-E51-D51</f>
        <v>83589</v>
      </c>
      <c r="H51" s="183">
        <f t="shared" si="0"/>
        <v>263435</v>
      </c>
      <c r="I51" s="139"/>
      <c r="J51" s="184"/>
    </row>
    <row r="52" spans="2:10" ht="15.75">
      <c r="B52" s="167" t="s">
        <v>22</v>
      </c>
      <c r="C52" s="89" t="s">
        <v>53</v>
      </c>
      <c r="D52" s="182">
        <v>649.35</v>
      </c>
      <c r="E52" s="182">
        <v>587.62</v>
      </c>
      <c r="F52" s="182">
        <v>1299</v>
      </c>
      <c r="G52" s="182">
        <f>3656.27-F52-E52-D52</f>
        <v>1120.3000000000002</v>
      </c>
      <c r="H52" s="183">
        <f t="shared" si="0"/>
        <v>3656.2700000000004</v>
      </c>
      <c r="I52" s="139"/>
      <c r="J52" s="139"/>
    </row>
    <row r="53" spans="2:10" ht="15.75">
      <c r="B53" s="167" t="s">
        <v>16</v>
      </c>
      <c r="C53" s="89" t="s">
        <v>54</v>
      </c>
      <c r="D53" s="182">
        <f>35676</f>
        <v>35676</v>
      </c>
      <c r="E53" s="182">
        <f>68313.6-D53</f>
        <v>32637.600000000006</v>
      </c>
      <c r="F53" s="182">
        <f>89188.27-E53-D53</f>
        <v>20874.669999999998</v>
      </c>
      <c r="G53" s="182">
        <f>115269.7-F53-E53-D53</f>
        <v>26081.429999999993</v>
      </c>
      <c r="H53" s="183">
        <f t="shared" si="0"/>
        <v>115269.7</v>
      </c>
      <c r="I53" s="139"/>
      <c r="J53" s="139"/>
    </row>
    <row r="54" spans="2:10" ht="15.75">
      <c r="B54" s="167" t="s">
        <v>16</v>
      </c>
      <c r="C54" s="89" t="s">
        <v>55</v>
      </c>
      <c r="D54" s="182">
        <f>120905</f>
        <v>120905</v>
      </c>
      <c r="E54" s="182">
        <f>212968-D54</f>
        <v>92063</v>
      </c>
      <c r="F54" s="182">
        <f>269226-E54-D54</f>
        <v>56258</v>
      </c>
      <c r="G54" s="182">
        <f>375304-F54-E54-D54</f>
        <v>106078</v>
      </c>
      <c r="H54" s="183">
        <f t="shared" si="0"/>
        <v>375304</v>
      </c>
      <c r="I54" s="139"/>
      <c r="J54" s="139"/>
    </row>
    <row r="55" spans="2:10" ht="15.75">
      <c r="B55" s="167" t="s">
        <v>16</v>
      </c>
      <c r="C55" s="89" t="s">
        <v>56</v>
      </c>
      <c r="D55" s="182">
        <f>284861</f>
        <v>284861</v>
      </c>
      <c r="E55" s="182">
        <f>159573</f>
        <v>159573</v>
      </c>
      <c r="F55" s="182">
        <f>646462-284861-E55</f>
        <v>202028</v>
      </c>
      <c r="G55" s="182">
        <f>791405-F55-E55-D55</f>
        <v>144943</v>
      </c>
      <c r="H55" s="183">
        <f t="shared" si="0"/>
        <v>791405</v>
      </c>
      <c r="I55" s="139"/>
      <c r="J55" s="139"/>
    </row>
    <row r="56" spans="2:10" ht="15.75">
      <c r="B56" s="130">
        <v>0.05</v>
      </c>
      <c r="C56" s="89" t="s">
        <v>132</v>
      </c>
      <c r="D56" s="182">
        <v>414</v>
      </c>
      <c r="E56" s="182">
        <f>2190-D56</f>
        <v>1776</v>
      </c>
      <c r="F56" s="182">
        <f>2826-E56-D56</f>
        <v>636</v>
      </c>
      <c r="G56" s="182">
        <f>3472-F56-E56-D56</f>
        <v>646</v>
      </c>
      <c r="H56" s="183">
        <f t="shared" si="0"/>
        <v>3472</v>
      </c>
      <c r="I56" s="139"/>
      <c r="J56" s="139"/>
    </row>
    <row r="57" spans="2:10" ht="15.75">
      <c r="B57" s="130">
        <v>0.05</v>
      </c>
      <c r="C57" s="89" t="s">
        <v>57</v>
      </c>
      <c r="D57" s="182">
        <f>61532</f>
        <v>61532</v>
      </c>
      <c r="E57" s="182">
        <f>120019-D57</f>
        <v>58487</v>
      </c>
      <c r="F57" s="182">
        <f>180375-E57-D57</f>
        <v>60356</v>
      </c>
      <c r="G57" s="182">
        <f>275389-F57-E57-D57</f>
        <v>95014</v>
      </c>
      <c r="H57" s="183">
        <f t="shared" si="0"/>
        <v>275389</v>
      </c>
      <c r="I57" s="139"/>
      <c r="J57" s="139"/>
    </row>
    <row r="58" spans="2:10" ht="15.75">
      <c r="B58" s="167" t="s">
        <v>16</v>
      </c>
      <c r="C58" s="89" t="s">
        <v>58</v>
      </c>
      <c r="D58" s="182">
        <f>130533</f>
        <v>130533</v>
      </c>
      <c r="E58" s="182">
        <f>210081-D58</f>
        <v>79548</v>
      </c>
      <c r="F58" s="182">
        <f>190941</f>
        <v>190941</v>
      </c>
      <c r="G58" s="182">
        <f>562951-F58-E58-D58</f>
        <v>161929</v>
      </c>
      <c r="H58" s="183">
        <f t="shared" si="0"/>
        <v>562951</v>
      </c>
      <c r="I58" s="139"/>
      <c r="J58" s="139"/>
    </row>
    <row r="59" spans="2:10" ht="15.75">
      <c r="B59" s="178">
        <v>2.5</v>
      </c>
      <c r="C59" s="89" t="s">
        <v>151</v>
      </c>
      <c r="D59" s="182">
        <f>128940</f>
        <v>128940</v>
      </c>
      <c r="E59" s="182">
        <f>0</f>
        <v>0</v>
      </c>
      <c r="F59" s="182">
        <f>384712-E59-D59</f>
        <v>255772</v>
      </c>
      <c r="G59" s="182">
        <f>562132-F59-E59-D59</f>
        <v>177420</v>
      </c>
      <c r="H59" s="183">
        <f t="shared" si="0"/>
        <v>562132</v>
      </c>
      <c r="I59" s="139"/>
      <c r="J59" s="139"/>
    </row>
    <row r="60" spans="2:10" ht="15.75">
      <c r="B60" s="179" t="s">
        <v>16</v>
      </c>
      <c r="C60" s="89" t="s">
        <v>59</v>
      </c>
      <c r="D60" s="182">
        <f>649291</f>
        <v>649291</v>
      </c>
      <c r="E60" s="182">
        <f>1093166-D60</f>
        <v>443875</v>
      </c>
      <c r="F60" s="182">
        <f>1568099-E60-D60</f>
        <v>474933</v>
      </c>
      <c r="G60" s="182">
        <f>2122342-F60-E60-D60</f>
        <v>554243</v>
      </c>
      <c r="H60" s="183">
        <f t="shared" si="0"/>
        <v>2122342</v>
      </c>
      <c r="I60" s="139"/>
      <c r="J60" s="139"/>
    </row>
    <row r="61" spans="2:10" ht="15.75">
      <c r="B61" s="167" t="s">
        <v>16</v>
      </c>
      <c r="C61" s="89" t="s">
        <v>60</v>
      </c>
      <c r="D61" s="182">
        <v>57151</v>
      </c>
      <c r="E61" s="182">
        <v>99251</v>
      </c>
      <c r="F61" s="182">
        <v>196875</v>
      </c>
      <c r="G61" s="182">
        <v>175346</v>
      </c>
      <c r="H61" s="183">
        <f t="shared" si="0"/>
        <v>528623</v>
      </c>
      <c r="I61" s="186"/>
      <c r="J61" s="139"/>
    </row>
    <row r="62" spans="2:10" ht="15.75">
      <c r="B62" s="130">
        <v>0.05</v>
      </c>
      <c r="C62" s="180" t="s">
        <v>79</v>
      </c>
      <c r="D62" s="182">
        <v>1141812</v>
      </c>
      <c r="E62" s="182">
        <v>823714</v>
      </c>
      <c r="F62" s="182">
        <v>2062564</v>
      </c>
      <c r="G62" s="182">
        <v>6158907</v>
      </c>
      <c r="H62" s="183">
        <f t="shared" si="0"/>
        <v>10186997</v>
      </c>
      <c r="I62" s="186"/>
      <c r="J62" s="139"/>
    </row>
    <row r="63" spans="2:10" ht="15.75">
      <c r="B63" s="130">
        <v>0.02</v>
      </c>
      <c r="C63" s="180" t="s">
        <v>146</v>
      </c>
      <c r="D63" s="187">
        <v>0</v>
      </c>
      <c r="E63" s="188">
        <v>0</v>
      </c>
      <c r="F63" s="187">
        <v>0</v>
      </c>
      <c r="G63" s="187">
        <v>0</v>
      </c>
      <c r="H63" s="183">
        <f t="shared" si="0"/>
        <v>0</v>
      </c>
      <c r="I63" s="186"/>
      <c r="J63" s="139"/>
    </row>
    <row r="64" spans="2:10" ht="15.75">
      <c r="B64" s="130">
        <v>0.05</v>
      </c>
      <c r="C64" s="89" t="s">
        <v>61</v>
      </c>
      <c r="D64" s="182">
        <v>0</v>
      </c>
      <c r="E64" s="182">
        <f>267347.44-D64</f>
        <v>267347.44</v>
      </c>
      <c r="F64" s="182">
        <v>0</v>
      </c>
      <c r="G64" s="182">
        <v>605709.66</v>
      </c>
      <c r="H64" s="183">
        <f t="shared" si="0"/>
        <v>873057.10000000009</v>
      </c>
      <c r="I64" s="139"/>
      <c r="J64" s="139"/>
    </row>
    <row r="65" spans="2:10" ht="15.75">
      <c r="B65" s="167" t="s">
        <v>16</v>
      </c>
      <c r="C65" s="89" t="s">
        <v>62</v>
      </c>
      <c r="D65" s="182">
        <f>57066</f>
        <v>57066</v>
      </c>
      <c r="E65" s="182">
        <f>103086-D65</f>
        <v>46020</v>
      </c>
      <c r="F65" s="182">
        <f>140862-E65-D65</f>
        <v>37776</v>
      </c>
      <c r="G65" s="182">
        <f>213937-F65-E65-D65</f>
        <v>73075</v>
      </c>
      <c r="H65" s="183">
        <f t="shared" si="0"/>
        <v>213937</v>
      </c>
      <c r="I65" s="139"/>
      <c r="J65" s="139"/>
    </row>
    <row r="66" spans="2:10" ht="15.75">
      <c r="B66" s="130">
        <v>0.05</v>
      </c>
      <c r="C66" s="89" t="s">
        <v>63</v>
      </c>
      <c r="D66" s="182">
        <f>69252</f>
        <v>69252</v>
      </c>
      <c r="E66" s="182">
        <f>154029-D66</f>
        <v>84777</v>
      </c>
      <c r="F66" s="182">
        <f>201352-E66-D66</f>
        <v>47323</v>
      </c>
      <c r="G66" s="182">
        <f>273965-F66-E66-D66</f>
        <v>72613</v>
      </c>
      <c r="H66" s="183">
        <f t="shared" si="0"/>
        <v>273965</v>
      </c>
      <c r="I66" s="139"/>
      <c r="J66" s="139"/>
    </row>
    <row r="67" spans="2:10" ht="15.75">
      <c r="B67" s="167" t="s">
        <v>22</v>
      </c>
      <c r="C67" s="89" t="s">
        <v>64</v>
      </c>
      <c r="D67" s="182">
        <v>6509.48</v>
      </c>
      <c r="E67" s="182">
        <v>12298</v>
      </c>
      <c r="F67" s="182">
        <f>13235-E67</f>
        <v>937</v>
      </c>
      <c r="G67" s="182">
        <f>14000-F67-E67</f>
        <v>765</v>
      </c>
      <c r="H67" s="183">
        <f t="shared" si="0"/>
        <v>20509.48</v>
      </c>
      <c r="I67" s="186"/>
      <c r="J67" s="139"/>
    </row>
    <row r="68" spans="2:10" ht="15.75">
      <c r="B68" s="130">
        <v>0.05</v>
      </c>
      <c r="C68" s="89" t="s">
        <v>158</v>
      </c>
      <c r="D68" s="182">
        <v>3851</v>
      </c>
      <c r="E68" s="182">
        <f>7795-D68</f>
        <v>3944</v>
      </c>
      <c r="F68" s="182">
        <f>10613-E68-D68</f>
        <v>2818</v>
      </c>
      <c r="G68" s="182">
        <f>18208-F68-E68-D68</f>
        <v>7595</v>
      </c>
      <c r="H68" s="183">
        <f t="shared" si="0"/>
        <v>18208</v>
      </c>
      <c r="I68" s="139"/>
      <c r="J68" s="139"/>
    </row>
    <row r="69" spans="2:10" ht="15.75">
      <c r="B69" s="130">
        <v>0.05</v>
      </c>
      <c r="C69" s="89" t="s">
        <v>65</v>
      </c>
      <c r="D69" s="182">
        <v>142862</v>
      </c>
      <c r="E69" s="182">
        <f>300494-D69</f>
        <v>157632</v>
      </c>
      <c r="F69" s="182">
        <f>494939-E69-D69</f>
        <v>194445</v>
      </c>
      <c r="G69" s="182">
        <f>889539-F69-E69-D69</f>
        <v>394600</v>
      </c>
      <c r="H69" s="183">
        <f t="shared" si="0"/>
        <v>889539</v>
      </c>
      <c r="I69" s="139"/>
      <c r="J69" s="139"/>
    </row>
    <row r="70" spans="2:10" ht="15.75">
      <c r="B70" s="177" t="s">
        <v>16</v>
      </c>
      <c r="C70" s="89" t="s">
        <v>66</v>
      </c>
      <c r="D70" s="182">
        <f>36179</f>
        <v>36179</v>
      </c>
      <c r="E70" s="182">
        <f>74029-D70</f>
        <v>37850</v>
      </c>
      <c r="F70" s="182">
        <f>256638-E70-D70</f>
        <v>182609</v>
      </c>
      <c r="G70" s="182">
        <f>370680-F70-E70-D70</f>
        <v>114042</v>
      </c>
      <c r="H70" s="183">
        <f t="shared" si="0"/>
        <v>370680</v>
      </c>
      <c r="I70" s="139"/>
      <c r="J70" s="139"/>
    </row>
    <row r="71" spans="2:10" ht="15.75">
      <c r="B71" s="167" t="s">
        <v>16</v>
      </c>
      <c r="C71" s="89" t="s">
        <v>67</v>
      </c>
      <c r="D71" s="182">
        <f>59196</f>
        <v>59196</v>
      </c>
      <c r="E71" s="182">
        <f>113848-D71</f>
        <v>54652</v>
      </c>
      <c r="F71" s="182">
        <f>166040-E71-D71</f>
        <v>52192</v>
      </c>
      <c r="G71" s="182">
        <f>250110-F71-E71-D71</f>
        <v>84070</v>
      </c>
      <c r="H71" s="183">
        <f t="shared" si="0"/>
        <v>250110</v>
      </c>
      <c r="I71" s="139"/>
      <c r="J71" s="139"/>
    </row>
    <row r="72" spans="2:10" ht="15.75">
      <c r="B72" s="130">
        <v>0.01</v>
      </c>
      <c r="C72" s="89" t="s">
        <v>153</v>
      </c>
      <c r="D72" s="182">
        <f>11840</f>
        <v>11840</v>
      </c>
      <c r="E72" s="182">
        <f>22770-D72</f>
        <v>10930</v>
      </c>
      <c r="F72" s="182">
        <f>33208-E72-D72</f>
        <v>10438</v>
      </c>
      <c r="G72" s="182">
        <f>50027-F72-E72-D72</f>
        <v>16819</v>
      </c>
      <c r="H72" s="183">
        <f t="shared" si="0"/>
        <v>50027</v>
      </c>
      <c r="I72" s="139"/>
      <c r="J72" s="139"/>
    </row>
    <row r="73" spans="2:10" ht="15.75">
      <c r="B73" s="167" t="s">
        <v>16</v>
      </c>
      <c r="C73" s="89" t="s">
        <v>68</v>
      </c>
      <c r="D73" s="182">
        <f>141344</f>
        <v>141344</v>
      </c>
      <c r="E73" s="182">
        <f>289585-D73</f>
        <v>148241</v>
      </c>
      <c r="F73" s="182">
        <f>397925-E73-D73</f>
        <v>108340</v>
      </c>
      <c r="G73" s="182">
        <f>603985-F73-E73-D73</f>
        <v>206060</v>
      </c>
      <c r="H73" s="183">
        <f t="shared" si="0"/>
        <v>603985</v>
      </c>
      <c r="I73" s="139"/>
      <c r="J73" s="139"/>
    </row>
    <row r="74" spans="2:10" ht="15.75">
      <c r="B74" s="177" t="s">
        <v>16</v>
      </c>
      <c r="C74" s="89" t="s">
        <v>82</v>
      </c>
      <c r="D74" s="182">
        <f>19345</f>
        <v>19345</v>
      </c>
      <c r="E74" s="182">
        <f>35360-D74</f>
        <v>16015</v>
      </c>
      <c r="F74" s="182">
        <f>51642-E74-D74</f>
        <v>16282</v>
      </c>
      <c r="G74" s="182">
        <f>68907-F74-E74-D74</f>
        <v>17265</v>
      </c>
      <c r="H74" s="183">
        <f t="shared" ref="H74:H75" si="1">D74+E74+F74+G74</f>
        <v>68907</v>
      </c>
      <c r="I74" s="139"/>
      <c r="J74" s="139"/>
    </row>
    <row r="75" spans="2:10" ht="15.75">
      <c r="B75" s="167" t="s">
        <v>22</v>
      </c>
      <c r="C75" s="89" t="s">
        <v>69</v>
      </c>
      <c r="D75" s="182">
        <f>697</f>
        <v>697</v>
      </c>
      <c r="E75" s="182">
        <f>1027-D75</f>
        <v>330</v>
      </c>
      <c r="F75" s="182">
        <f>1370-E75-D75</f>
        <v>343</v>
      </c>
      <c r="G75" s="182">
        <f>1797-F75-E75-D75</f>
        <v>427</v>
      </c>
      <c r="H75" s="183">
        <f t="shared" si="1"/>
        <v>1797</v>
      </c>
      <c r="I75" s="139"/>
      <c r="J75" s="139"/>
    </row>
    <row r="76" spans="2:10" ht="15.75">
      <c r="B76" s="45"/>
      <c r="C76" s="46"/>
      <c r="D76" s="127"/>
      <c r="E76" s="127"/>
      <c r="F76" s="127"/>
      <c r="G76" s="163"/>
      <c r="H76" s="173"/>
    </row>
    <row r="77" spans="2:10" ht="15.75">
      <c r="B77" s="68"/>
      <c r="C77" s="129" t="s">
        <v>70</v>
      </c>
      <c r="D77" s="118">
        <f>SUM(D9:D76)</f>
        <v>8442194.9100000001</v>
      </c>
      <c r="E77" s="118">
        <f>SUM(E9:E76)</f>
        <v>7549859.0499999998</v>
      </c>
      <c r="F77" s="118">
        <f>SUM(F9:F76)</f>
        <v>8639942.5299999993</v>
      </c>
      <c r="G77" s="164">
        <f>SUM(G9:G76)</f>
        <v>17295579.030000001</v>
      </c>
      <c r="H77" s="67">
        <f>SUM(H9:H76)</f>
        <v>41927575.519999996</v>
      </c>
    </row>
    <row r="78" spans="2:10">
      <c r="B78" t="s">
        <v>0</v>
      </c>
      <c r="H78">
        <f>D77+E77+F77+G77</f>
        <v>41927575.520000003</v>
      </c>
    </row>
    <row r="79" spans="2:10">
      <c r="B79" t="s">
        <v>157</v>
      </c>
    </row>
    <row r="80" spans="2:10">
      <c r="B80" s="139"/>
    </row>
  </sheetData>
  <mergeCells count="5">
    <mergeCell ref="B2:H2"/>
    <mergeCell ref="B3:H3"/>
    <mergeCell ref="B4:H4"/>
    <mergeCell ref="B6:B8"/>
    <mergeCell ref="C6:C8"/>
  </mergeCells>
  <pageMargins left="0.5" right="0.5" top="0.75" bottom="0.75" header="0.25" footer="0.25"/>
  <pageSetup scale="65" orientation="landscape" r:id="rId1"/>
  <headerFooter>
    <oddFooter xml:space="preserve">&amp;L&amp;"SWISS,Bold"&amp;10Report Date: 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I179"/>
  <sheetViews>
    <sheetView showOutlineSymbols="0" topLeftCell="A31" zoomScaleNormal="100" zoomScaleSheetLayoutView="100" workbookViewId="0">
      <selection activeCell="G52" sqref="G52"/>
    </sheetView>
  </sheetViews>
  <sheetFormatPr defaultColWidth="8.77734375" defaultRowHeight="14.25"/>
  <cols>
    <col min="1" max="1" width="6.44140625" style="55" customWidth="1"/>
    <col min="2" max="2" width="29.109375" style="55" customWidth="1"/>
    <col min="3" max="3" width="11.6640625" style="55" customWidth="1"/>
    <col min="4" max="4" width="12.77734375" style="55" customWidth="1"/>
    <col min="5" max="5" width="13.6640625" style="55" customWidth="1"/>
    <col min="6" max="6" width="1.109375" style="55" customWidth="1"/>
    <col min="7" max="7" width="12.77734375" style="55" customWidth="1"/>
    <col min="8" max="8" width="14.77734375" style="55" customWidth="1"/>
    <col min="9" max="9" width="8.77734375" style="55"/>
    <col min="10" max="11" width="9.6640625" style="55" bestFit="1" customWidth="1"/>
    <col min="12" max="16384" width="8.77734375" style="55"/>
  </cols>
  <sheetData>
    <row r="1" spans="1:9" s="47" customFormat="1" ht="14.1" customHeight="1">
      <c r="A1" s="45" t="s">
        <v>0</v>
      </c>
      <c r="B1" s="46"/>
      <c r="C1" s="46" t="s">
        <v>1</v>
      </c>
      <c r="D1" s="46"/>
      <c r="E1" s="46"/>
      <c r="F1" s="46"/>
      <c r="G1" s="46"/>
      <c r="H1" s="73">
        <f ca="1">NOW()</f>
        <v>44902.644180787036</v>
      </c>
    </row>
    <row r="2" spans="1:9" s="47" customFormat="1" ht="14.1" customHeight="1">
      <c r="A2" s="48" t="s">
        <v>0</v>
      </c>
      <c r="C2" s="47" t="s">
        <v>110</v>
      </c>
      <c r="H2" s="49"/>
    </row>
    <row r="3" spans="1:9" s="47" customFormat="1" ht="14.1" customHeight="1">
      <c r="A3" s="48" t="s">
        <v>0</v>
      </c>
      <c r="C3" s="47" t="s">
        <v>111</v>
      </c>
      <c r="H3" s="49"/>
    </row>
    <row r="4" spans="1:9" s="47" customFormat="1" ht="14.1" customHeight="1">
      <c r="A4" s="69" t="s">
        <v>2</v>
      </c>
      <c r="B4" s="70" t="s">
        <v>2</v>
      </c>
      <c r="C4" s="70" t="s">
        <v>2</v>
      </c>
      <c r="D4" s="70" t="s">
        <v>2</v>
      </c>
      <c r="E4" s="70" t="s">
        <v>2</v>
      </c>
      <c r="F4" s="70"/>
      <c r="G4" s="70" t="s">
        <v>2</v>
      </c>
      <c r="H4" s="71" t="s">
        <v>2</v>
      </c>
    </row>
    <row r="5" spans="1:9" s="47" customFormat="1" ht="14.25" customHeight="1">
      <c r="A5" s="48"/>
      <c r="B5" s="74"/>
      <c r="C5" s="75" t="s">
        <v>3</v>
      </c>
      <c r="D5" s="75" t="s">
        <v>4</v>
      </c>
      <c r="E5" s="75" t="s">
        <v>5</v>
      </c>
      <c r="F5" s="75"/>
      <c r="G5" s="75" t="s">
        <v>6</v>
      </c>
      <c r="H5" s="76"/>
    </row>
    <row r="6" spans="1:9" s="47" customFormat="1" ht="14.25" customHeight="1">
      <c r="A6" s="48"/>
      <c r="B6" s="74"/>
      <c r="C6" s="75" t="s">
        <v>7</v>
      </c>
      <c r="D6" s="75" t="s">
        <v>8</v>
      </c>
      <c r="E6" s="75" t="s">
        <v>7</v>
      </c>
      <c r="F6" s="75"/>
      <c r="G6" s="75" t="s">
        <v>73</v>
      </c>
      <c r="H6" s="77" t="s">
        <v>9</v>
      </c>
    </row>
    <row r="7" spans="1:9" s="47" customFormat="1" ht="15" customHeight="1">
      <c r="A7" s="68"/>
      <c r="B7" s="78" t="s">
        <v>10</v>
      </c>
      <c r="C7" s="79" t="s">
        <v>11</v>
      </c>
      <c r="D7" s="79" t="s">
        <v>12</v>
      </c>
      <c r="E7" s="80" t="s">
        <v>13</v>
      </c>
      <c r="F7" s="79"/>
      <c r="G7" s="79" t="s">
        <v>14</v>
      </c>
      <c r="H7" s="81" t="s">
        <v>15</v>
      </c>
    </row>
    <row r="8" spans="1:9" s="47" customFormat="1" ht="14.1" customHeight="1">
      <c r="A8" s="82" t="s">
        <v>16</v>
      </c>
      <c r="B8" s="83" t="s">
        <v>17</v>
      </c>
      <c r="C8" s="84">
        <v>122830</v>
      </c>
      <c r="D8" s="83">
        <f>231188.73-C8</f>
        <v>108358.73000000001</v>
      </c>
      <c r="E8" s="83">
        <f>338606.65-D8</f>
        <v>230247.92</v>
      </c>
      <c r="F8" s="72"/>
      <c r="G8" s="85">
        <f>459271.12-E8</f>
        <v>229023.19999999998</v>
      </c>
      <c r="H8" s="86">
        <f>(C8+D8+E8+G8)</f>
        <v>690459.85</v>
      </c>
    </row>
    <row r="9" spans="1:9" s="131" customFormat="1" ht="14.1" customHeight="1">
      <c r="A9" s="130">
        <v>0.05</v>
      </c>
      <c r="B9" s="89" t="s">
        <v>78</v>
      </c>
      <c r="C9" s="88">
        <v>2686915</v>
      </c>
      <c r="D9" s="89">
        <f>5306877-C9</f>
        <v>2619962</v>
      </c>
      <c r="E9" s="89">
        <f>7184449-D9</f>
        <v>4564487</v>
      </c>
      <c r="F9" s="89"/>
      <c r="G9" s="89">
        <f>9803034-E9</f>
        <v>5238547</v>
      </c>
      <c r="H9" s="140">
        <f>(C9+D9+E9+G9)</f>
        <v>15109911</v>
      </c>
    </row>
    <row r="10" spans="1:9" s="131" customFormat="1" ht="14.1" customHeight="1">
      <c r="A10" s="130">
        <v>0.01</v>
      </c>
      <c r="B10" s="89" t="s">
        <v>81</v>
      </c>
      <c r="C10" s="88">
        <v>537383</v>
      </c>
      <c r="D10" s="89">
        <f>1061375-C10</f>
        <v>523992</v>
      </c>
      <c r="E10" s="89">
        <f>1436890-D10</f>
        <v>912898</v>
      </c>
      <c r="F10" s="89"/>
      <c r="G10" s="89">
        <f>1960926-E10</f>
        <v>1048028</v>
      </c>
      <c r="H10" s="140">
        <f>(C10+D10+E10+G10)</f>
        <v>3022301</v>
      </c>
    </row>
    <row r="11" spans="1:9" s="47" customFormat="1" ht="14.1" customHeight="1">
      <c r="A11" s="82" t="s">
        <v>16</v>
      </c>
      <c r="B11" s="85" t="s">
        <v>18</v>
      </c>
      <c r="C11" s="88">
        <v>25922</v>
      </c>
      <c r="D11" s="85">
        <f>37513-C11</f>
        <v>11591</v>
      </c>
      <c r="E11" s="66">
        <f>179079-D11</f>
        <v>167488</v>
      </c>
      <c r="F11" s="72"/>
      <c r="G11" s="89">
        <f>239100-E11</f>
        <v>71612</v>
      </c>
      <c r="H11" s="90">
        <f>(C11+D11+E11+G11)</f>
        <v>276613</v>
      </c>
      <c r="I11" s="91"/>
    </row>
    <row r="12" spans="1:9" s="47" customFormat="1" ht="14.1" customHeight="1">
      <c r="A12" s="82" t="s">
        <v>16</v>
      </c>
      <c r="B12" s="85" t="s">
        <v>19</v>
      </c>
      <c r="C12" s="88">
        <v>55161</v>
      </c>
      <c r="D12" s="85">
        <f>115714-C12</f>
        <v>60553</v>
      </c>
      <c r="E12" s="85">
        <f>168769-D12</f>
        <v>108216</v>
      </c>
      <c r="F12" s="85"/>
      <c r="G12" s="85">
        <f>225940-E12</f>
        <v>117724</v>
      </c>
      <c r="H12" s="86">
        <f>(C12+D12+E12+G12)</f>
        <v>341654</v>
      </c>
    </row>
    <row r="13" spans="1:9" s="47" customFormat="1" ht="14.1" customHeight="1">
      <c r="A13" s="82" t="s">
        <v>16</v>
      </c>
      <c r="B13" s="85" t="s">
        <v>20</v>
      </c>
      <c r="C13" s="92">
        <v>3185.73</v>
      </c>
      <c r="D13" s="85">
        <f>7293.94-C13</f>
        <v>4108.2099999999991</v>
      </c>
      <c r="E13" s="85">
        <f>8625.35-D13</f>
        <v>4517.1400000000012</v>
      </c>
      <c r="F13" s="85"/>
      <c r="G13" s="89">
        <f>12816.34-E13</f>
        <v>8299.1999999999989</v>
      </c>
      <c r="H13" s="86">
        <f>SUM(C13:G13)</f>
        <v>20110.28</v>
      </c>
    </row>
    <row r="14" spans="1:9" s="47" customFormat="1" ht="14.1" customHeight="1">
      <c r="A14" s="87">
        <v>0.04</v>
      </c>
      <c r="B14" s="85" t="s">
        <v>21</v>
      </c>
      <c r="C14" s="92">
        <v>15696</v>
      </c>
      <c r="D14" s="85">
        <f>21094-C14</f>
        <v>5398</v>
      </c>
      <c r="E14" s="85">
        <f>33447-D14</f>
        <v>28049</v>
      </c>
      <c r="F14" s="85"/>
      <c r="G14" s="89">
        <f>42659-E14</f>
        <v>14610</v>
      </c>
      <c r="H14" s="86">
        <f>(C14+D14+E14+G14)</f>
        <v>63753</v>
      </c>
    </row>
    <row r="15" spans="1:9" s="47" customFormat="1" ht="14.1" customHeight="1">
      <c r="A15" s="82" t="s">
        <v>22</v>
      </c>
      <c r="B15" s="85" t="s">
        <v>23</v>
      </c>
      <c r="C15" s="88">
        <v>30071</v>
      </c>
      <c r="D15" s="89">
        <v>24660</v>
      </c>
      <c r="E15" s="89">
        <f>16967</f>
        <v>16967</v>
      </c>
      <c r="F15" s="85"/>
      <c r="G15" s="89">
        <v>27519</v>
      </c>
      <c r="H15" s="86">
        <f>(C15+D15+E15+G15)</f>
        <v>99217</v>
      </c>
    </row>
    <row r="16" spans="1:9" s="47" customFormat="1" ht="14.1" customHeight="1">
      <c r="A16" s="87">
        <v>0.03</v>
      </c>
      <c r="B16" s="85" t="s">
        <v>75</v>
      </c>
      <c r="C16" s="92">
        <v>19763</v>
      </c>
      <c r="D16" s="85">
        <f>36093-C16</f>
        <v>16330</v>
      </c>
      <c r="E16" s="89">
        <f>44497-D16</f>
        <v>28167</v>
      </c>
      <c r="F16" s="85"/>
      <c r="G16" s="85">
        <f>46404-E16</f>
        <v>18237</v>
      </c>
      <c r="H16" s="86">
        <f>C16+D16+E16+G16</f>
        <v>82497</v>
      </c>
    </row>
    <row r="17" spans="1:8" s="47" customFormat="1" ht="14.1" customHeight="1">
      <c r="A17" s="87">
        <v>0.03</v>
      </c>
      <c r="B17" s="85" t="s">
        <v>76</v>
      </c>
      <c r="C17" s="92">
        <v>1431</v>
      </c>
      <c r="D17" s="85">
        <v>618.1</v>
      </c>
      <c r="E17" s="85">
        <f>2074.3-D17</f>
        <v>1456.2000000000003</v>
      </c>
      <c r="F17" s="85"/>
      <c r="G17" s="85">
        <f>3147.94-E17</f>
        <v>1691.7399999999998</v>
      </c>
      <c r="H17" s="86">
        <f>(C17+D17+E17+G17)</f>
        <v>5197.04</v>
      </c>
    </row>
    <row r="18" spans="1:8" s="47" customFormat="1" ht="14.1" customHeight="1">
      <c r="A18" s="87">
        <v>0.05</v>
      </c>
      <c r="B18" s="85" t="s">
        <v>24</v>
      </c>
      <c r="C18" s="88">
        <v>222970</v>
      </c>
      <c r="D18" s="85">
        <f>376760-C18</f>
        <v>153790</v>
      </c>
      <c r="E18" s="85">
        <f>502679-D18</f>
        <v>348889</v>
      </c>
      <c r="F18" s="85"/>
      <c r="G18" s="85">
        <f>695347-E18</f>
        <v>346458</v>
      </c>
      <c r="H18" s="86">
        <f>C18+D18+E18+G18</f>
        <v>1072107</v>
      </c>
    </row>
    <row r="19" spans="1:8" s="47" customFormat="1" ht="14.1" customHeight="1">
      <c r="A19" s="82" t="s">
        <v>22</v>
      </c>
      <c r="B19" s="85" t="s">
        <v>25</v>
      </c>
      <c r="C19" s="92">
        <v>1848</v>
      </c>
      <c r="D19" s="89">
        <f>3883-C19</f>
        <v>2035</v>
      </c>
      <c r="E19" s="85">
        <f>5402-D19</f>
        <v>3367</v>
      </c>
      <c r="F19" s="85"/>
      <c r="G19" s="89">
        <f>7146-E19</f>
        <v>3779</v>
      </c>
      <c r="H19" s="86">
        <f t="shared" ref="H19:H58" si="0">(C19+D19+E19+G19)</f>
        <v>11029</v>
      </c>
    </row>
    <row r="20" spans="1:8" s="47" customFormat="1" ht="14.1" customHeight="1">
      <c r="A20" s="87">
        <v>0.04</v>
      </c>
      <c r="B20" s="85" t="s">
        <v>26</v>
      </c>
      <c r="C20" s="92">
        <v>44630</v>
      </c>
      <c r="D20" s="85">
        <f>68659-C20</f>
        <v>24029</v>
      </c>
      <c r="E20" s="85">
        <f>72684-D20</f>
        <v>48655</v>
      </c>
      <c r="F20" s="85"/>
      <c r="G20" s="85">
        <f>80471-E20</f>
        <v>31816</v>
      </c>
      <c r="H20" s="86">
        <f t="shared" si="0"/>
        <v>149130</v>
      </c>
    </row>
    <row r="21" spans="1:8" s="47" customFormat="1" ht="14.1" customHeight="1">
      <c r="A21" s="82" t="s">
        <v>27</v>
      </c>
      <c r="B21" s="85" t="s">
        <v>28</v>
      </c>
      <c r="C21" s="92">
        <v>9042</v>
      </c>
      <c r="D21" s="89">
        <f>12276-C21</f>
        <v>3234</v>
      </c>
      <c r="E21" s="85">
        <f>14031-D21</f>
        <v>10797</v>
      </c>
      <c r="F21" s="85"/>
      <c r="G21" s="85">
        <f>19711-E21</f>
        <v>8914</v>
      </c>
      <c r="H21" s="86">
        <f t="shared" si="0"/>
        <v>31987</v>
      </c>
    </row>
    <row r="22" spans="1:8" s="47" customFormat="1" ht="14.1" customHeight="1">
      <c r="A22" s="87">
        <v>0.05</v>
      </c>
      <c r="B22" s="85" t="s">
        <v>29</v>
      </c>
      <c r="C22" s="92">
        <v>50019</v>
      </c>
      <c r="D22" s="89">
        <f>78743.7-C22</f>
        <v>28724.699999999997</v>
      </c>
      <c r="E22" s="85">
        <f>95361.87-D22</f>
        <v>66637.17</v>
      </c>
      <c r="F22" s="85"/>
      <c r="G22" s="85">
        <f>117164.26-E22</f>
        <v>50527.09</v>
      </c>
      <c r="H22" s="86">
        <f t="shared" si="0"/>
        <v>195907.96</v>
      </c>
    </row>
    <row r="23" spans="1:8" s="47" customFormat="1" ht="14.1" customHeight="1">
      <c r="A23" s="87">
        <v>0.05</v>
      </c>
      <c r="B23" s="85" t="s">
        <v>77</v>
      </c>
      <c r="C23" s="92">
        <v>77</v>
      </c>
      <c r="D23" s="85">
        <f>70415-C23</f>
        <v>70338</v>
      </c>
      <c r="E23" s="85">
        <f>97382-D23</f>
        <v>27044</v>
      </c>
      <c r="F23" s="85"/>
      <c r="G23" s="85">
        <f>118102-E23</f>
        <v>91058</v>
      </c>
      <c r="H23" s="86">
        <f t="shared" si="0"/>
        <v>188517</v>
      </c>
    </row>
    <row r="24" spans="1:8" s="47" customFormat="1" ht="14.1" customHeight="1">
      <c r="A24" s="87">
        <v>0.05</v>
      </c>
      <c r="B24" s="85" t="s">
        <v>30</v>
      </c>
      <c r="C24" s="92">
        <v>117838</v>
      </c>
      <c r="D24" s="85">
        <v>142448.59</v>
      </c>
      <c r="E24" s="85">
        <v>97364.47</v>
      </c>
      <c r="F24" s="85"/>
      <c r="G24" s="89">
        <f>475282.39-E24</f>
        <v>377917.92000000004</v>
      </c>
      <c r="H24" s="86">
        <f t="shared" si="0"/>
        <v>735568.98</v>
      </c>
    </row>
    <row r="25" spans="1:8" s="47" customFormat="1" ht="14.1" customHeight="1">
      <c r="A25" s="87">
        <v>0.05</v>
      </c>
      <c r="B25" s="85" t="s">
        <v>31</v>
      </c>
      <c r="C25" s="88">
        <v>720</v>
      </c>
      <c r="D25" s="85">
        <f>1412-C25</f>
        <v>692</v>
      </c>
      <c r="E25" s="89">
        <f>2508-D25</f>
        <v>1816</v>
      </c>
      <c r="F25" s="85"/>
      <c r="G25" s="85">
        <f>2982-E25</f>
        <v>1166</v>
      </c>
      <c r="H25" s="86">
        <f t="shared" si="0"/>
        <v>4394</v>
      </c>
    </row>
    <row r="26" spans="1:8" s="47" customFormat="1" ht="14.1" customHeight="1">
      <c r="A26" s="93">
        <v>3.5000000000000003E-2</v>
      </c>
      <c r="B26" s="85" t="s">
        <v>74</v>
      </c>
      <c r="C26" s="88">
        <v>1954</v>
      </c>
      <c r="D26" s="85">
        <f>3575-C26</f>
        <v>1621</v>
      </c>
      <c r="E26" s="85">
        <f>4397-D26</f>
        <v>2776</v>
      </c>
      <c r="F26" s="85"/>
      <c r="G26" s="89">
        <f>6037-E26</f>
        <v>3261</v>
      </c>
      <c r="H26" s="86">
        <f t="shared" si="0"/>
        <v>9612</v>
      </c>
    </row>
    <row r="27" spans="1:8" s="47" customFormat="1" ht="14.1" customHeight="1">
      <c r="A27" s="82" t="s">
        <v>22</v>
      </c>
      <c r="B27" s="85" t="s">
        <v>32</v>
      </c>
      <c r="C27" s="88">
        <v>4559</v>
      </c>
      <c r="D27" s="89">
        <f>6362-C27</f>
        <v>1803</v>
      </c>
      <c r="E27" s="89">
        <f>11016-D27</f>
        <v>9213</v>
      </c>
      <c r="F27" s="89"/>
      <c r="G27" s="89">
        <f>13482-E27</f>
        <v>4269</v>
      </c>
      <c r="H27" s="86">
        <f t="shared" si="0"/>
        <v>19844</v>
      </c>
    </row>
    <row r="28" spans="1:8" s="47" customFormat="1" ht="14.1" customHeight="1">
      <c r="A28" s="94" t="s">
        <v>16</v>
      </c>
      <c r="B28" s="95" t="s">
        <v>80</v>
      </c>
      <c r="C28" s="88">
        <v>69784</v>
      </c>
      <c r="D28" s="85">
        <f>147613-C28</f>
        <v>77829</v>
      </c>
      <c r="E28" s="85">
        <f>258730-D28</f>
        <v>180901</v>
      </c>
      <c r="F28" s="85"/>
      <c r="G28" s="85">
        <f>361826-E28</f>
        <v>180925</v>
      </c>
      <c r="H28" s="86">
        <f t="shared" si="0"/>
        <v>509439</v>
      </c>
    </row>
    <row r="29" spans="1:8" s="47" customFormat="1" ht="14.25" customHeight="1">
      <c r="A29" s="82" t="s">
        <v>22</v>
      </c>
      <c r="B29" s="85" t="s">
        <v>33</v>
      </c>
      <c r="C29" s="92">
        <v>18428</v>
      </c>
      <c r="D29" s="85">
        <f>27448-C29</f>
        <v>9020</v>
      </c>
      <c r="E29" s="85">
        <f>35250-D29</f>
        <v>26230</v>
      </c>
      <c r="F29" s="85"/>
      <c r="G29" s="85">
        <f>42909-E29</f>
        <v>16679</v>
      </c>
      <c r="H29" s="86">
        <f t="shared" si="0"/>
        <v>70357</v>
      </c>
    </row>
    <row r="30" spans="1:8" s="47" customFormat="1" ht="14.25" customHeight="1">
      <c r="A30" s="87">
        <v>0.05</v>
      </c>
      <c r="B30" s="85" t="s">
        <v>72</v>
      </c>
      <c r="C30" s="88">
        <v>10209.48</v>
      </c>
      <c r="D30" s="85">
        <f>21200.42-C30</f>
        <v>10990.939999999999</v>
      </c>
      <c r="E30" s="89">
        <f>25837.01-D30</f>
        <v>14846.07</v>
      </c>
      <c r="F30" s="85"/>
      <c r="G30" s="85">
        <f>35399.79-E30</f>
        <v>20553.72</v>
      </c>
      <c r="H30" s="86">
        <f t="shared" si="0"/>
        <v>56600.21</v>
      </c>
    </row>
    <row r="31" spans="1:8" s="47" customFormat="1" ht="14.1" customHeight="1">
      <c r="A31" s="87">
        <v>0.05</v>
      </c>
      <c r="B31" s="85" t="s">
        <v>34</v>
      </c>
      <c r="C31" s="88">
        <v>27584</v>
      </c>
      <c r="D31" s="89">
        <f>48002-C31</f>
        <v>20418</v>
      </c>
      <c r="E31" s="85">
        <f>53418-D31</f>
        <v>33000</v>
      </c>
      <c r="F31" s="85" t="s">
        <v>108</v>
      </c>
      <c r="G31" s="89">
        <f>65184-E31</f>
        <v>32184</v>
      </c>
      <c r="H31" s="86">
        <f t="shared" si="0"/>
        <v>113186</v>
      </c>
    </row>
    <row r="32" spans="1:8" s="47" customFormat="1" ht="14.1" customHeight="1">
      <c r="A32" s="82" t="s">
        <v>16</v>
      </c>
      <c r="B32" s="85" t="s">
        <v>35</v>
      </c>
      <c r="C32" s="92">
        <v>304791</v>
      </c>
      <c r="D32" s="85">
        <f>546416-C32</f>
        <v>241625</v>
      </c>
      <c r="E32" s="85">
        <f>783934-D32</f>
        <v>542309</v>
      </c>
      <c r="F32" s="85"/>
      <c r="G32" s="85">
        <f>1104655-E32</f>
        <v>562346</v>
      </c>
      <c r="H32" s="86">
        <f t="shared" si="0"/>
        <v>1651071</v>
      </c>
    </row>
    <row r="33" spans="1:8" s="47" customFormat="1" ht="14.1" customHeight="1">
      <c r="A33" s="82" t="s">
        <v>16</v>
      </c>
      <c r="B33" s="85" t="s">
        <v>36</v>
      </c>
      <c r="C33" s="92">
        <v>7055</v>
      </c>
      <c r="D33" s="85">
        <f>15186-C33</f>
        <v>8131</v>
      </c>
      <c r="E33" s="85">
        <f>18922-D33</f>
        <v>10791</v>
      </c>
      <c r="F33" s="85"/>
      <c r="G33" s="85">
        <f>23627-E33</f>
        <v>12836</v>
      </c>
      <c r="H33" s="86">
        <f t="shared" si="0"/>
        <v>38813</v>
      </c>
    </row>
    <row r="34" spans="1:8" s="47" customFormat="1" ht="14.1" customHeight="1">
      <c r="A34" s="82" t="s">
        <v>16</v>
      </c>
      <c r="B34" s="85" t="s">
        <v>37</v>
      </c>
      <c r="C34" s="92">
        <v>341614</v>
      </c>
      <c r="D34" s="85">
        <f>636120-C34</f>
        <v>294506</v>
      </c>
      <c r="E34" s="89">
        <f>867351-D34</f>
        <v>572845</v>
      </c>
      <c r="F34" s="85"/>
      <c r="G34" s="89">
        <f>1140875-E34</f>
        <v>568030</v>
      </c>
      <c r="H34" s="86">
        <f t="shared" si="0"/>
        <v>1776995</v>
      </c>
    </row>
    <row r="35" spans="1:8" s="47" customFormat="1" ht="14.1" customHeight="1">
      <c r="A35" s="82" t="s">
        <v>16</v>
      </c>
      <c r="B35" s="85" t="s">
        <v>38</v>
      </c>
      <c r="C35" s="88">
        <v>105503</v>
      </c>
      <c r="D35" s="85">
        <f>201704-C35</f>
        <v>96201</v>
      </c>
      <c r="E35" s="85">
        <f>278687-D35</f>
        <v>182486</v>
      </c>
      <c r="F35" s="85"/>
      <c r="G35" s="85">
        <f>385832-E35</f>
        <v>203346</v>
      </c>
      <c r="H35" s="86">
        <f t="shared" si="0"/>
        <v>587536</v>
      </c>
    </row>
    <row r="36" spans="1:8" s="47" customFormat="1" ht="14.1" customHeight="1">
      <c r="A36" s="82" t="s">
        <v>22</v>
      </c>
      <c r="B36" s="85" t="s">
        <v>39</v>
      </c>
      <c r="C36" s="88">
        <v>12.15</v>
      </c>
      <c r="D36" s="89">
        <f>28.35-C36</f>
        <v>16.200000000000003</v>
      </c>
      <c r="E36" s="85">
        <v>9.15</v>
      </c>
      <c r="F36" s="85"/>
      <c r="G36" s="89">
        <v>19.05</v>
      </c>
      <c r="H36" s="86">
        <f t="shared" si="0"/>
        <v>56.55</v>
      </c>
    </row>
    <row r="37" spans="1:8" s="47" customFormat="1" ht="14.1" customHeight="1">
      <c r="A37" s="87">
        <v>0.05</v>
      </c>
      <c r="B37" s="85" t="s">
        <v>40</v>
      </c>
      <c r="C37" s="88">
        <v>189638</v>
      </c>
      <c r="D37" s="85">
        <f>348986-C37</f>
        <v>159348</v>
      </c>
      <c r="E37" s="85">
        <f>506875-D37</f>
        <v>347527</v>
      </c>
      <c r="F37" s="85"/>
      <c r="G37" s="85">
        <f>668262-E37</f>
        <v>320735</v>
      </c>
      <c r="H37" s="86">
        <f t="shared" si="0"/>
        <v>1017248</v>
      </c>
    </row>
    <row r="38" spans="1:8" s="47" customFormat="1" ht="14.1" customHeight="1">
      <c r="A38" s="87">
        <v>0.03</v>
      </c>
      <c r="B38" s="85" t="s">
        <v>41</v>
      </c>
      <c r="C38" s="88">
        <v>1108.76</v>
      </c>
      <c r="D38" s="85">
        <f>1552.25-C38</f>
        <v>443.49</v>
      </c>
      <c r="E38" s="89">
        <f>1780.13-D38</f>
        <v>1336.64</v>
      </c>
      <c r="F38" s="85"/>
      <c r="G38" s="89">
        <f>2037.02-E38</f>
        <v>700.37999999999988</v>
      </c>
      <c r="H38" s="86">
        <f t="shared" si="0"/>
        <v>3589.2700000000004</v>
      </c>
    </row>
    <row r="39" spans="1:8" s="47" customFormat="1" ht="14.1" customHeight="1">
      <c r="A39" s="82" t="s">
        <v>16</v>
      </c>
      <c r="B39" s="85" t="s">
        <v>42</v>
      </c>
      <c r="C39" s="92">
        <v>6351</v>
      </c>
      <c r="D39" s="85">
        <f>7939-C39</f>
        <v>1588</v>
      </c>
      <c r="E39" s="85">
        <f>10143-D39</f>
        <v>8555</v>
      </c>
      <c r="F39" s="85"/>
      <c r="G39" s="85">
        <f>14919-E39</f>
        <v>6364</v>
      </c>
      <c r="H39" s="86">
        <f t="shared" si="0"/>
        <v>22858</v>
      </c>
    </row>
    <row r="40" spans="1:8" s="47" customFormat="1" ht="14.1" customHeight="1">
      <c r="A40" s="82" t="s">
        <v>16</v>
      </c>
      <c r="B40" s="85" t="s">
        <v>43</v>
      </c>
      <c r="C40" s="88">
        <v>356439</v>
      </c>
      <c r="D40" s="85">
        <f>812087-C40</f>
        <v>455648</v>
      </c>
      <c r="E40" s="89">
        <f>1227447-D40</f>
        <v>771799</v>
      </c>
      <c r="F40" s="85"/>
      <c r="G40" s="89">
        <f>1701829-E40</f>
        <v>930030</v>
      </c>
      <c r="H40" s="86">
        <f t="shared" si="0"/>
        <v>2513916</v>
      </c>
    </row>
    <row r="41" spans="1:8" s="47" customFormat="1" ht="14.1" customHeight="1">
      <c r="A41" s="87">
        <v>0.02</v>
      </c>
      <c r="B41" s="85" t="s">
        <v>114</v>
      </c>
      <c r="C41" s="88"/>
      <c r="D41" s="85"/>
      <c r="E41" s="89"/>
      <c r="F41" s="85"/>
      <c r="G41" s="89">
        <v>1154370</v>
      </c>
      <c r="H41" s="86">
        <f t="shared" si="0"/>
        <v>1154370</v>
      </c>
    </row>
    <row r="42" spans="1:8" s="47" customFormat="1" ht="14.1" customHeight="1">
      <c r="A42" s="82" t="s">
        <v>27</v>
      </c>
      <c r="B42" s="85" t="s">
        <v>44</v>
      </c>
      <c r="C42" s="92">
        <v>87767</v>
      </c>
      <c r="D42" s="85">
        <f>149568-C42</f>
        <v>61801</v>
      </c>
      <c r="E42" s="85">
        <f>196335-D42</f>
        <v>134534</v>
      </c>
      <c r="F42" s="85"/>
      <c r="G42" s="85">
        <f>260360-E42</f>
        <v>125826</v>
      </c>
      <c r="H42" s="86">
        <f t="shared" si="0"/>
        <v>409928</v>
      </c>
    </row>
    <row r="43" spans="1:8" s="47" customFormat="1" ht="14.1" customHeight="1">
      <c r="A43" s="82" t="s">
        <v>22</v>
      </c>
      <c r="B43" s="85" t="s">
        <v>45</v>
      </c>
      <c r="C43" s="92">
        <v>3268</v>
      </c>
      <c r="D43" s="85">
        <f>6070-C43</f>
        <v>2802</v>
      </c>
      <c r="E43" s="85">
        <f>7234-D43</f>
        <v>4432</v>
      </c>
      <c r="F43" s="85"/>
      <c r="G43" s="85">
        <f>9849-E43</f>
        <v>5417</v>
      </c>
      <c r="H43" s="86">
        <f t="shared" si="0"/>
        <v>15919</v>
      </c>
    </row>
    <row r="44" spans="1:8" s="47" customFormat="1" ht="14.1" customHeight="1">
      <c r="A44" s="82" t="s">
        <v>16</v>
      </c>
      <c r="B44" s="85" t="s">
        <v>46</v>
      </c>
      <c r="C44" s="88">
        <v>44445.09</v>
      </c>
      <c r="D44" s="89">
        <f>79882.87-C44</f>
        <v>35437.78</v>
      </c>
      <c r="E44" s="89">
        <f>127448.62-D44</f>
        <v>92010.84</v>
      </c>
      <c r="F44" s="85"/>
      <c r="G44" s="89">
        <f>171434.6-E44</f>
        <v>79423.760000000009</v>
      </c>
      <c r="H44" s="86">
        <f t="shared" si="0"/>
        <v>251317.47</v>
      </c>
    </row>
    <row r="45" spans="1:8" s="47" customFormat="1" ht="14.1" customHeight="1">
      <c r="A45" s="82" t="s">
        <v>27</v>
      </c>
      <c r="B45" s="85" t="s">
        <v>48</v>
      </c>
      <c r="C45" s="88">
        <v>18573.650000000001</v>
      </c>
      <c r="D45" s="85">
        <f>30557.88-C45</f>
        <v>11984.23</v>
      </c>
      <c r="E45" s="89">
        <f>44341.82-D45</f>
        <v>32357.59</v>
      </c>
      <c r="F45" s="85"/>
      <c r="G45" s="89">
        <f>56354.18-E45</f>
        <v>23996.59</v>
      </c>
      <c r="H45" s="86">
        <f t="shared" si="0"/>
        <v>86912.06</v>
      </c>
    </row>
    <row r="46" spans="1:8" s="47" customFormat="1" ht="14.1" customHeight="1">
      <c r="A46" s="94" t="s">
        <v>16</v>
      </c>
      <c r="B46" s="85" t="s">
        <v>49</v>
      </c>
      <c r="C46" s="92">
        <v>11186</v>
      </c>
      <c r="D46" s="85">
        <f>22417.45-C46</f>
        <v>11231.45</v>
      </c>
      <c r="E46" s="85">
        <f>32872.99-D46</f>
        <v>21641.539999999997</v>
      </c>
      <c r="F46" s="85"/>
      <c r="G46" s="85">
        <f>47043.25-E46</f>
        <v>25401.710000000003</v>
      </c>
      <c r="H46" s="86">
        <f t="shared" si="0"/>
        <v>69460.7</v>
      </c>
    </row>
    <row r="47" spans="1:8" s="47" customFormat="1" ht="14.1" customHeight="1">
      <c r="A47" s="87">
        <v>0.04</v>
      </c>
      <c r="B47" s="85" t="s">
        <v>50</v>
      </c>
      <c r="C47" s="92">
        <v>964</v>
      </c>
      <c r="D47" s="85">
        <f>2244.48-964</f>
        <v>1280.48</v>
      </c>
      <c r="E47" s="85">
        <f>2865.38-D47</f>
        <v>1584.9</v>
      </c>
      <c r="F47" s="85"/>
      <c r="G47" s="85">
        <f>4675.66-E47</f>
        <v>3090.7599999999998</v>
      </c>
      <c r="H47" s="86">
        <f t="shared" si="0"/>
        <v>6920.1399999999994</v>
      </c>
    </row>
    <row r="48" spans="1:8" s="47" customFormat="1" ht="14.1" customHeight="1">
      <c r="A48" s="82" t="s">
        <v>16</v>
      </c>
      <c r="B48" s="85" t="s">
        <v>71</v>
      </c>
      <c r="C48" s="92">
        <v>3485</v>
      </c>
      <c r="D48" s="85">
        <f>5391.01-C48</f>
        <v>1906.0100000000002</v>
      </c>
      <c r="E48" s="85">
        <f>7805.72-D48</f>
        <v>5899.71</v>
      </c>
      <c r="F48" s="85"/>
      <c r="G48" s="89">
        <f>7857.72-E48</f>
        <v>1958.0100000000002</v>
      </c>
      <c r="H48" s="86">
        <f t="shared" si="0"/>
        <v>13248.730000000001</v>
      </c>
    </row>
    <row r="49" spans="1:9" s="47" customFormat="1" ht="14.1" customHeight="1">
      <c r="A49" s="82" t="s">
        <v>22</v>
      </c>
      <c r="B49" s="85" t="s">
        <v>51</v>
      </c>
      <c r="C49" s="92">
        <v>988</v>
      </c>
      <c r="D49" s="85">
        <f>1889-C49</f>
        <v>901</v>
      </c>
      <c r="E49" s="85">
        <f>2512-D49</f>
        <v>1611</v>
      </c>
      <c r="F49" s="85"/>
      <c r="G49" s="85">
        <f>3659-E49</f>
        <v>2048</v>
      </c>
      <c r="H49" s="86">
        <f t="shared" si="0"/>
        <v>5548</v>
      </c>
    </row>
    <row r="50" spans="1:9" s="47" customFormat="1" ht="14.1" customHeight="1">
      <c r="A50" s="82" t="s">
        <v>16</v>
      </c>
      <c r="B50" s="85" t="s">
        <v>52</v>
      </c>
      <c r="C50" s="92">
        <v>50775</v>
      </c>
      <c r="D50" s="85">
        <f>87425-C50</f>
        <v>36650</v>
      </c>
      <c r="E50" s="85">
        <f>129395-D50</f>
        <v>92745</v>
      </c>
      <c r="F50" s="85"/>
      <c r="G50" s="85">
        <f>170986-E50</f>
        <v>78241</v>
      </c>
      <c r="H50" s="86">
        <f t="shared" si="0"/>
        <v>258411</v>
      </c>
    </row>
    <row r="51" spans="1:9" s="47" customFormat="1" ht="14.1" customHeight="1">
      <c r="A51" s="82" t="s">
        <v>22</v>
      </c>
      <c r="B51" s="85" t="s">
        <v>53</v>
      </c>
      <c r="C51" s="92">
        <v>16740</v>
      </c>
      <c r="D51" s="89">
        <f>19224-C51</f>
        <v>2484</v>
      </c>
      <c r="E51" s="89">
        <f>20364-D51</f>
        <v>17880</v>
      </c>
      <c r="F51" s="85"/>
      <c r="G51" s="89">
        <f>21167-E51</f>
        <v>3287</v>
      </c>
      <c r="H51" s="86">
        <f t="shared" si="0"/>
        <v>40391</v>
      </c>
    </row>
    <row r="52" spans="1:9" s="47" customFormat="1" ht="14.1" customHeight="1">
      <c r="A52" s="82" t="s">
        <v>16</v>
      </c>
      <c r="B52" s="85" t="s">
        <v>54</v>
      </c>
      <c r="C52" s="92">
        <v>19112</v>
      </c>
      <c r="D52" s="85">
        <f>41154.3-C52</f>
        <v>22042.300000000003</v>
      </c>
      <c r="E52" s="85">
        <f>63412.19-D52</f>
        <v>41369.89</v>
      </c>
      <c r="F52" s="85"/>
      <c r="G52" s="85">
        <f>84423.63-E52</f>
        <v>43053.740000000005</v>
      </c>
      <c r="H52" s="86">
        <f t="shared" si="0"/>
        <v>125577.93000000001</v>
      </c>
    </row>
    <row r="53" spans="1:9" s="47" customFormat="1" ht="14.1" customHeight="1">
      <c r="A53" s="82" t="s">
        <v>16</v>
      </c>
      <c r="B53" s="85" t="s">
        <v>55</v>
      </c>
      <c r="C53" s="92">
        <v>117379</v>
      </c>
      <c r="D53" s="85">
        <f>190231-C53</f>
        <v>72852</v>
      </c>
      <c r="E53" s="89">
        <f>235551-D53</f>
        <v>162699</v>
      </c>
      <c r="F53" s="85"/>
      <c r="G53" s="89">
        <f>303290-E53</f>
        <v>140591</v>
      </c>
      <c r="H53" s="86">
        <f t="shared" si="0"/>
        <v>493521</v>
      </c>
    </row>
    <row r="54" spans="1:9" s="47" customFormat="1" ht="14.1" customHeight="1">
      <c r="A54" s="82" t="s">
        <v>16</v>
      </c>
      <c r="B54" s="85" t="s">
        <v>56</v>
      </c>
      <c r="C54" s="92">
        <v>192464</v>
      </c>
      <c r="D54" s="85">
        <f>260278-C54</f>
        <v>67814</v>
      </c>
      <c r="E54" s="85">
        <f>412750-D54</f>
        <v>344936</v>
      </c>
      <c r="F54" s="85"/>
      <c r="G54" s="85">
        <f>496064-E54</f>
        <v>151128</v>
      </c>
      <c r="H54" s="86">
        <f t="shared" si="0"/>
        <v>756342</v>
      </c>
      <c r="I54" s="51"/>
    </row>
    <row r="55" spans="1:9" s="47" customFormat="1" ht="14.1" customHeight="1">
      <c r="A55" s="87">
        <v>0.05</v>
      </c>
      <c r="B55" s="85" t="s">
        <v>57</v>
      </c>
      <c r="C55" s="92">
        <v>89361</v>
      </c>
      <c r="D55" s="85">
        <f>197542-C55</f>
        <v>108181</v>
      </c>
      <c r="E55" s="89">
        <f>249254-D55</f>
        <v>141073</v>
      </c>
      <c r="F55" s="85"/>
      <c r="G55" s="89">
        <f>336554-E55</f>
        <v>195481</v>
      </c>
      <c r="H55" s="86">
        <f t="shared" si="0"/>
        <v>534096</v>
      </c>
    </row>
    <row r="56" spans="1:9" s="47" customFormat="1" ht="14.1" customHeight="1">
      <c r="A56" s="82" t="s">
        <v>16</v>
      </c>
      <c r="B56" s="85" t="s">
        <v>58</v>
      </c>
      <c r="C56" s="92">
        <v>230565</v>
      </c>
      <c r="D56" s="85">
        <f>441549-C56</f>
        <v>210984</v>
      </c>
      <c r="E56" s="85">
        <f>612091-D56</f>
        <v>401107</v>
      </c>
      <c r="F56" s="85"/>
      <c r="G56" s="85">
        <f>836205-E56</f>
        <v>435098</v>
      </c>
      <c r="H56" s="86">
        <f t="shared" si="0"/>
        <v>1277754</v>
      </c>
    </row>
    <row r="57" spans="1:9" s="47" customFormat="1" ht="14.1" customHeight="1">
      <c r="A57" s="96" t="s">
        <v>16</v>
      </c>
      <c r="B57" s="85" t="s">
        <v>59</v>
      </c>
      <c r="C57" s="88">
        <v>445731</v>
      </c>
      <c r="D57" s="85">
        <f>677644-C57</f>
        <v>231913</v>
      </c>
      <c r="E57" s="89">
        <f>971735-D57</f>
        <v>739822</v>
      </c>
      <c r="F57" s="85"/>
      <c r="G57" s="89">
        <f>1181250-E57</f>
        <v>441428</v>
      </c>
      <c r="H57" s="86">
        <f t="shared" si="0"/>
        <v>1858894</v>
      </c>
    </row>
    <row r="58" spans="1:9" s="47" customFormat="1" ht="14.1" customHeight="1">
      <c r="A58" s="82" t="s">
        <v>16</v>
      </c>
      <c r="B58" s="85" t="s">
        <v>60</v>
      </c>
      <c r="C58" s="88">
        <v>62514</v>
      </c>
      <c r="D58" s="85">
        <f>108988-C58</f>
        <v>46474</v>
      </c>
      <c r="E58" s="89">
        <f>120408-D58</f>
        <v>73934</v>
      </c>
      <c r="F58" s="89"/>
      <c r="G58" s="89">
        <f>169656-E58</f>
        <v>95722</v>
      </c>
      <c r="H58" s="86">
        <f t="shared" si="0"/>
        <v>278644</v>
      </c>
    </row>
    <row r="59" spans="1:9" s="47" customFormat="1" ht="14.1" customHeight="1">
      <c r="A59" s="87">
        <v>0.05</v>
      </c>
      <c r="B59" s="97" t="s">
        <v>79</v>
      </c>
      <c r="C59" s="88">
        <v>1474007</v>
      </c>
      <c r="D59" s="85">
        <f>2553398-C59</f>
        <v>1079391</v>
      </c>
      <c r="E59" s="89">
        <f>5542780-D59</f>
        <v>4463389</v>
      </c>
      <c r="F59" s="85"/>
      <c r="G59" s="89">
        <f>7237892-E59</f>
        <v>2774503</v>
      </c>
      <c r="H59" s="86">
        <f>(C59+D59+E59+G59)</f>
        <v>9791290</v>
      </c>
    </row>
    <row r="60" spans="1:9" s="47" customFormat="1" ht="14.1" customHeight="1">
      <c r="A60" s="87">
        <v>0.02</v>
      </c>
      <c r="B60" s="97" t="s">
        <v>146</v>
      </c>
      <c r="C60" s="88">
        <v>1117919</v>
      </c>
      <c r="D60" s="66">
        <f>1896643-C60</f>
        <v>778724</v>
      </c>
      <c r="E60" s="89">
        <f>2391813-D60</f>
        <v>1613089</v>
      </c>
      <c r="F60" s="85"/>
      <c r="G60" s="89">
        <f>3127661-E60</f>
        <v>1514572</v>
      </c>
      <c r="H60" s="86">
        <f>SUM(C60:G60)</f>
        <v>5024304</v>
      </c>
    </row>
    <row r="61" spans="1:9" s="47" customFormat="1" ht="14.1" customHeight="1">
      <c r="A61" s="87">
        <v>0.05</v>
      </c>
      <c r="B61" s="85" t="s">
        <v>61</v>
      </c>
      <c r="C61" s="88">
        <v>127429.27</v>
      </c>
      <c r="D61" s="85">
        <f>230144.56-C61</f>
        <v>102715.29</v>
      </c>
      <c r="E61" s="89">
        <f>318889.38-D61</f>
        <v>216174.09000000003</v>
      </c>
      <c r="F61" s="89"/>
      <c r="G61" s="89">
        <f>440217.05-E61</f>
        <v>224042.95999999996</v>
      </c>
      <c r="H61" s="86">
        <f t="shared" ref="H61:H70" si="1">(C61+D61+E61+G61)</f>
        <v>670361.61</v>
      </c>
    </row>
    <row r="62" spans="1:9" s="47" customFormat="1" ht="14.1" customHeight="1">
      <c r="A62" s="82" t="s">
        <v>16</v>
      </c>
      <c r="B62" s="85" t="s">
        <v>62</v>
      </c>
      <c r="C62" s="92">
        <v>59230</v>
      </c>
      <c r="D62" s="85">
        <f>108225-C62</f>
        <v>48995</v>
      </c>
      <c r="E62" s="85">
        <f>137906-D62</f>
        <v>88911</v>
      </c>
      <c r="F62" s="85"/>
      <c r="G62" s="89">
        <f>211978-E62</f>
        <v>123067</v>
      </c>
      <c r="H62" s="86">
        <f t="shared" si="1"/>
        <v>320203</v>
      </c>
    </row>
    <row r="63" spans="1:9" s="47" customFormat="1" ht="14.1" customHeight="1">
      <c r="A63" s="87">
        <v>0.05</v>
      </c>
      <c r="B63" s="85" t="s">
        <v>63</v>
      </c>
      <c r="C63" s="92">
        <v>70759</v>
      </c>
      <c r="D63" s="85">
        <f>175338-C63</f>
        <v>104579</v>
      </c>
      <c r="E63" s="89">
        <f>250798-D63</f>
        <v>146219</v>
      </c>
      <c r="F63" s="85"/>
      <c r="G63" s="89">
        <f>336942-E63</f>
        <v>190723</v>
      </c>
      <c r="H63" s="86">
        <f t="shared" si="1"/>
        <v>512280</v>
      </c>
    </row>
    <row r="64" spans="1:9" s="47" customFormat="1" ht="14.1" customHeight="1">
      <c r="A64" s="82" t="s">
        <v>22</v>
      </c>
      <c r="B64" s="85" t="s">
        <v>64</v>
      </c>
      <c r="C64" s="92">
        <v>352</v>
      </c>
      <c r="D64" s="85">
        <f>595-C64</f>
        <v>243</v>
      </c>
      <c r="E64" s="89">
        <f>913-D64</f>
        <v>670</v>
      </c>
      <c r="F64" s="85"/>
      <c r="G64" s="89">
        <f>1453-E64</f>
        <v>783</v>
      </c>
      <c r="H64" s="86">
        <f t="shared" si="1"/>
        <v>2048</v>
      </c>
    </row>
    <row r="65" spans="1:8" s="47" customFormat="1" ht="14.1" customHeight="1">
      <c r="A65" s="87">
        <v>0.05</v>
      </c>
      <c r="B65" s="85" t="s">
        <v>65</v>
      </c>
      <c r="C65" s="92">
        <v>302749</v>
      </c>
      <c r="D65" s="85">
        <f>495381-C65</f>
        <v>192632</v>
      </c>
      <c r="E65" s="85">
        <f>673578-D65</f>
        <v>480946</v>
      </c>
      <c r="F65" s="85"/>
      <c r="G65" s="89">
        <f>875452-E65</f>
        <v>394506</v>
      </c>
      <c r="H65" s="86">
        <f t="shared" si="1"/>
        <v>1370833</v>
      </c>
    </row>
    <row r="66" spans="1:8" s="47" customFormat="1" ht="14.1" customHeight="1">
      <c r="A66" s="94" t="s">
        <v>16</v>
      </c>
      <c r="B66" s="85" t="s">
        <v>66</v>
      </c>
      <c r="C66" s="92">
        <v>19874</v>
      </c>
      <c r="D66" s="85">
        <f>28057-19874</f>
        <v>8183</v>
      </c>
      <c r="E66" s="85">
        <f>203274-D66</f>
        <v>195091</v>
      </c>
      <c r="F66" s="85"/>
      <c r="G66" s="85">
        <f>284808-E66</f>
        <v>89717</v>
      </c>
      <c r="H66" s="86">
        <f t="shared" si="1"/>
        <v>312865</v>
      </c>
    </row>
    <row r="67" spans="1:8" s="47" customFormat="1" ht="14.1" customHeight="1">
      <c r="A67" s="82" t="s">
        <v>16</v>
      </c>
      <c r="B67" s="85" t="s">
        <v>67</v>
      </c>
      <c r="C67" s="92">
        <v>42906</v>
      </c>
      <c r="D67" s="85">
        <f>84632-C67</f>
        <v>41726</v>
      </c>
      <c r="E67" s="85">
        <f>123709-D67</f>
        <v>81983</v>
      </c>
      <c r="F67" s="85"/>
      <c r="G67" s="89">
        <f>174548-E67</f>
        <v>92565</v>
      </c>
      <c r="H67" s="86">
        <f t="shared" si="1"/>
        <v>259180</v>
      </c>
    </row>
    <row r="68" spans="1:8" s="47" customFormat="1" ht="14.1" customHeight="1">
      <c r="A68" s="82" t="s">
        <v>16</v>
      </c>
      <c r="B68" s="85" t="s">
        <v>68</v>
      </c>
      <c r="C68" s="88">
        <v>134529</v>
      </c>
      <c r="D68" s="85">
        <f>240477-C68</f>
        <v>105948</v>
      </c>
      <c r="E68" s="89">
        <f>318684-D68</f>
        <v>212736</v>
      </c>
      <c r="F68" s="89"/>
      <c r="G68" s="89">
        <f>463189-E68</f>
        <v>250453</v>
      </c>
      <c r="H68" s="86">
        <f t="shared" si="1"/>
        <v>703666</v>
      </c>
    </row>
    <row r="69" spans="1:8" s="47" customFormat="1" ht="14.1" customHeight="1">
      <c r="A69" s="94" t="s">
        <v>16</v>
      </c>
      <c r="B69" s="85" t="s">
        <v>82</v>
      </c>
      <c r="C69" s="88">
        <v>13980</v>
      </c>
      <c r="D69" s="89">
        <f>25303-C69</f>
        <v>11323</v>
      </c>
      <c r="E69" s="89">
        <f>36976-D69</f>
        <v>25653</v>
      </c>
      <c r="F69" s="85"/>
      <c r="G69" s="89">
        <f>49653-E69</f>
        <v>24000</v>
      </c>
      <c r="H69" s="86">
        <f t="shared" si="1"/>
        <v>74956</v>
      </c>
    </row>
    <row r="70" spans="1:8" s="47" customFormat="1" ht="14.1" customHeight="1">
      <c r="A70" s="82" t="s">
        <v>22</v>
      </c>
      <c r="B70" s="85" t="s">
        <v>69</v>
      </c>
      <c r="C70" s="88">
        <v>723.14</v>
      </c>
      <c r="D70" s="85">
        <f>1257.3-C70</f>
        <v>534.16</v>
      </c>
      <c r="E70" s="89">
        <f>1810.06-D70</f>
        <v>1275.9000000000001</v>
      </c>
      <c r="F70" s="85"/>
      <c r="G70" s="85">
        <f>2483-E70</f>
        <v>1207.0999999999999</v>
      </c>
      <c r="H70" s="86">
        <f t="shared" si="1"/>
        <v>3740.2999999999997</v>
      </c>
    </row>
    <row r="71" spans="1:8" s="47" customFormat="1" ht="8.1" customHeight="1">
      <c r="A71" s="45"/>
      <c r="B71" s="46"/>
      <c r="C71" s="46"/>
      <c r="D71" s="46"/>
      <c r="E71" s="46"/>
      <c r="F71" s="46"/>
      <c r="G71" s="46"/>
      <c r="H71" s="50"/>
    </row>
    <row r="72" spans="1:8" s="47" customFormat="1" ht="14.1" customHeight="1" thickBot="1">
      <c r="A72" s="48"/>
      <c r="B72" s="98" t="s">
        <v>70</v>
      </c>
      <c r="C72" s="98">
        <f>SUM(C8:C70)</f>
        <v>10150307.27</v>
      </c>
      <c r="D72" s="98">
        <f>SUM(D8:D70)</f>
        <v>8581782.6600000001</v>
      </c>
      <c r="E72" s="99">
        <f>SUM(E8:E70)</f>
        <v>19207461.220000003</v>
      </c>
      <c r="F72" s="99"/>
      <c r="G72" s="98">
        <f>SUM(G8:G70)</f>
        <v>19234905.930000007</v>
      </c>
      <c r="H72" s="100">
        <f>SUM(H8:H70)</f>
        <v>57174457.079999998</v>
      </c>
    </row>
    <row r="73" spans="1:8" s="47" customFormat="1" ht="17.25" customHeight="1" thickTop="1">
      <c r="A73" s="52"/>
      <c r="H73" s="49">
        <f>C72+D72+E72+G72</f>
        <v>57174457.080000013</v>
      </c>
    </row>
    <row r="74" spans="1:8" s="47" customFormat="1" ht="16.5" customHeight="1">
      <c r="A74" s="101" t="s">
        <v>109</v>
      </c>
      <c r="H74" s="49"/>
    </row>
    <row r="75" spans="1:8" s="47" customFormat="1" ht="12.75" customHeight="1">
      <c r="A75" s="101"/>
      <c r="B75" s="72"/>
      <c r="H75" s="49"/>
    </row>
    <row r="76" spans="1:8" s="47" customFormat="1" ht="0.75" customHeight="1">
      <c r="A76" s="101"/>
      <c r="B76" s="72"/>
      <c r="H76" s="49"/>
    </row>
    <row r="77" spans="1:8" s="47" customFormat="1" ht="13.5" customHeight="1">
      <c r="A77" s="101"/>
      <c r="B77" s="72"/>
      <c r="H77" s="49"/>
    </row>
    <row r="78" spans="1:8" s="47" customFormat="1" ht="12.75" customHeight="1">
      <c r="A78" s="101"/>
      <c r="B78" s="72"/>
      <c r="H78" s="49"/>
    </row>
    <row r="79" spans="1:8" s="47" customFormat="1" ht="13.5" customHeight="1">
      <c r="A79" s="53"/>
      <c r="B79" s="53"/>
      <c r="C79" s="53"/>
      <c r="D79" s="53"/>
      <c r="E79" s="53"/>
      <c r="F79" s="53"/>
      <c r="G79" s="53"/>
      <c r="H79" s="54"/>
    </row>
    <row r="90" spans="1:8" ht="15">
      <c r="A90" s="72"/>
      <c r="B90" s="72"/>
      <c r="C90" s="72"/>
      <c r="D90" s="72"/>
      <c r="E90" s="72"/>
      <c r="F90" s="72"/>
      <c r="G90" s="72"/>
      <c r="H90" s="72"/>
    </row>
    <row r="91" spans="1:8" ht="15">
      <c r="A91" s="72"/>
      <c r="B91" s="72"/>
      <c r="C91" s="72"/>
      <c r="D91" s="72"/>
      <c r="E91" s="72"/>
      <c r="F91" s="72"/>
      <c r="G91" s="72"/>
      <c r="H91" s="72"/>
    </row>
    <row r="92" spans="1:8" ht="15">
      <c r="A92" s="72"/>
      <c r="B92" s="72"/>
      <c r="C92" s="72"/>
      <c r="D92" s="72"/>
      <c r="E92" s="72"/>
      <c r="F92" s="72"/>
      <c r="G92" s="72"/>
      <c r="H92" s="72"/>
    </row>
    <row r="93" spans="1:8" ht="15">
      <c r="A93" s="72"/>
      <c r="B93" s="72"/>
      <c r="C93" s="72"/>
      <c r="D93" s="72"/>
      <c r="E93" s="72"/>
      <c r="F93" s="72"/>
      <c r="G93" s="72"/>
      <c r="H93" s="72"/>
    </row>
    <row r="94" spans="1:8" ht="15">
      <c r="A94" s="72"/>
      <c r="B94" s="72"/>
      <c r="C94" s="72"/>
      <c r="D94" s="72"/>
      <c r="E94" s="72"/>
      <c r="F94" s="72"/>
      <c r="G94" s="72"/>
      <c r="H94" s="72"/>
    </row>
    <row r="95" spans="1:8" ht="15">
      <c r="A95" s="72"/>
      <c r="B95" s="72"/>
      <c r="C95" s="72"/>
      <c r="D95" s="72"/>
      <c r="E95" s="72"/>
      <c r="F95" s="72"/>
      <c r="G95" s="72"/>
      <c r="H95" s="72"/>
    </row>
    <row r="96" spans="1:8" ht="15">
      <c r="A96" s="72"/>
      <c r="B96" s="72"/>
      <c r="C96" s="72"/>
      <c r="D96" s="72"/>
      <c r="E96" s="72"/>
      <c r="F96" s="72"/>
      <c r="G96" s="72"/>
      <c r="H96" s="72"/>
    </row>
    <row r="97" spans="1:8" ht="15">
      <c r="A97" s="72"/>
      <c r="B97" s="72"/>
      <c r="C97" s="72"/>
      <c r="D97" s="72"/>
      <c r="E97" s="72"/>
      <c r="F97" s="72"/>
      <c r="G97" s="72"/>
      <c r="H97" s="72"/>
    </row>
    <row r="98" spans="1:8" ht="15">
      <c r="A98" s="72"/>
      <c r="B98" s="72"/>
      <c r="C98" s="72"/>
      <c r="D98" s="72"/>
      <c r="E98" s="72"/>
      <c r="F98" s="72"/>
      <c r="G98" s="72"/>
      <c r="H98" s="72"/>
    </row>
    <row r="99" spans="1:8" ht="15">
      <c r="A99" s="72"/>
      <c r="B99" s="72"/>
      <c r="C99" s="72"/>
      <c r="D99" s="72"/>
      <c r="E99" s="72"/>
      <c r="F99" s="72"/>
      <c r="G99" s="72"/>
      <c r="H99" s="72"/>
    </row>
    <row r="100" spans="1:8" ht="15">
      <c r="A100" s="72"/>
      <c r="B100" s="72"/>
      <c r="C100" s="72"/>
      <c r="D100" s="72"/>
      <c r="E100" s="72"/>
      <c r="F100" s="72"/>
      <c r="G100" s="72"/>
      <c r="H100" s="72"/>
    </row>
    <row r="101" spans="1:8" ht="15">
      <c r="A101" s="72"/>
      <c r="B101" s="72"/>
      <c r="C101" s="72"/>
      <c r="D101" s="72"/>
      <c r="E101" s="72"/>
      <c r="F101" s="72"/>
      <c r="G101" s="72"/>
      <c r="H101" s="72"/>
    </row>
    <row r="102" spans="1:8" ht="15">
      <c r="A102" s="72"/>
      <c r="B102" s="72"/>
      <c r="C102" s="72"/>
      <c r="D102" s="72"/>
      <c r="E102" s="72"/>
      <c r="F102" s="72"/>
      <c r="G102" s="72"/>
      <c r="H102" s="72"/>
    </row>
    <row r="103" spans="1:8" ht="15">
      <c r="A103" s="72"/>
      <c r="B103" s="72"/>
      <c r="C103" s="72"/>
      <c r="D103" s="72"/>
      <c r="E103" s="72"/>
      <c r="F103" s="72"/>
      <c r="G103" s="72"/>
      <c r="H103" s="72"/>
    </row>
    <row r="104" spans="1:8" ht="15">
      <c r="A104" s="72"/>
      <c r="B104" s="72"/>
      <c r="C104" s="72"/>
      <c r="D104" s="72"/>
      <c r="E104" s="72"/>
      <c r="F104" s="72"/>
      <c r="G104" s="72"/>
      <c r="H104" s="72"/>
    </row>
    <row r="105" spans="1:8" ht="15">
      <c r="A105" s="72"/>
      <c r="B105" s="72"/>
      <c r="C105" s="72"/>
      <c r="D105" s="72"/>
      <c r="E105" s="72"/>
      <c r="F105" s="72"/>
      <c r="G105" s="72"/>
      <c r="H105" s="72"/>
    </row>
    <row r="106" spans="1:8" ht="15">
      <c r="A106" s="72"/>
      <c r="B106" s="72"/>
      <c r="C106" s="72"/>
      <c r="D106" s="72"/>
      <c r="E106" s="72"/>
      <c r="F106" s="72"/>
      <c r="G106" s="72"/>
      <c r="H106" s="72"/>
    </row>
    <row r="107" spans="1:8" ht="15">
      <c r="A107" s="72"/>
      <c r="B107" s="72"/>
      <c r="C107" s="72"/>
      <c r="D107" s="72"/>
      <c r="E107" s="72"/>
      <c r="F107" s="72"/>
      <c r="G107" s="72"/>
      <c r="H107" s="72"/>
    </row>
    <row r="108" spans="1:8" ht="15">
      <c r="A108" s="72"/>
      <c r="B108" s="72"/>
      <c r="C108" s="72"/>
      <c r="D108" s="72"/>
      <c r="E108" s="72"/>
      <c r="F108" s="72"/>
      <c r="G108" s="72"/>
      <c r="H108" s="72"/>
    </row>
    <row r="109" spans="1:8" ht="15">
      <c r="A109" s="72"/>
      <c r="B109" s="72"/>
      <c r="C109" s="72"/>
      <c r="D109" s="72"/>
      <c r="E109" s="72"/>
      <c r="F109" s="72"/>
      <c r="G109" s="72"/>
      <c r="H109" s="72"/>
    </row>
    <row r="110" spans="1:8" ht="15">
      <c r="A110" s="72"/>
      <c r="B110" s="72"/>
      <c r="C110" s="72"/>
      <c r="D110" s="72"/>
      <c r="E110" s="72"/>
      <c r="F110" s="72"/>
      <c r="G110" s="72"/>
      <c r="H110" s="72"/>
    </row>
    <row r="111" spans="1:8" ht="15">
      <c r="A111" s="72"/>
      <c r="B111" s="72"/>
      <c r="C111" s="72"/>
      <c r="D111" s="72"/>
      <c r="E111" s="72"/>
      <c r="F111" s="72"/>
      <c r="G111" s="72"/>
      <c r="H111" s="72"/>
    </row>
    <row r="112" spans="1:8" ht="15">
      <c r="A112" s="72"/>
      <c r="B112" s="72"/>
      <c r="C112" s="72"/>
      <c r="D112" s="72"/>
      <c r="E112" s="72"/>
      <c r="F112" s="72"/>
      <c r="G112" s="72"/>
      <c r="H112" s="72"/>
    </row>
    <row r="113" spans="1:8" ht="15">
      <c r="A113" s="72"/>
      <c r="B113" s="72"/>
      <c r="C113" s="72"/>
      <c r="D113" s="72"/>
      <c r="E113" s="72"/>
      <c r="F113" s="72"/>
      <c r="G113" s="72"/>
      <c r="H113" s="72"/>
    </row>
    <row r="114" spans="1:8" ht="15">
      <c r="A114" s="72"/>
      <c r="B114" s="72"/>
      <c r="C114" s="72"/>
      <c r="D114" s="72"/>
      <c r="E114" s="72"/>
      <c r="F114" s="72"/>
      <c r="G114" s="72"/>
      <c r="H114" s="72"/>
    </row>
    <row r="115" spans="1:8" ht="15">
      <c r="A115" s="72"/>
      <c r="B115" s="72"/>
      <c r="C115" s="72"/>
      <c r="D115" s="72"/>
      <c r="E115" s="72"/>
      <c r="F115" s="72"/>
      <c r="G115" s="72"/>
      <c r="H115" s="72"/>
    </row>
    <row r="116" spans="1:8" ht="15">
      <c r="A116" s="72"/>
      <c r="B116" s="72"/>
      <c r="C116" s="72"/>
      <c r="D116" s="72"/>
      <c r="E116" s="72"/>
      <c r="F116" s="72"/>
      <c r="G116" s="72"/>
      <c r="H116" s="72"/>
    </row>
    <row r="117" spans="1:8" ht="15">
      <c r="A117" s="72"/>
      <c r="B117" s="72"/>
      <c r="C117" s="72"/>
      <c r="D117" s="72"/>
      <c r="E117" s="72"/>
      <c r="F117" s="72"/>
      <c r="G117" s="72"/>
      <c r="H117" s="72"/>
    </row>
    <row r="118" spans="1:8" ht="15">
      <c r="A118" s="72"/>
      <c r="B118" s="72"/>
      <c r="C118" s="72"/>
      <c r="D118" s="72"/>
      <c r="E118" s="72"/>
      <c r="F118" s="72"/>
      <c r="G118" s="72"/>
      <c r="H118" s="72"/>
    </row>
    <row r="119" spans="1:8" ht="15">
      <c r="B119" s="102"/>
      <c r="C119" s="102"/>
      <c r="D119" s="102"/>
      <c r="E119" s="102"/>
      <c r="F119" s="102"/>
      <c r="G119" s="102"/>
      <c r="H119" s="102"/>
    </row>
    <row r="121" spans="1:8" ht="15">
      <c r="A121" s="102"/>
    </row>
    <row r="122" spans="1:8" ht="15">
      <c r="A122" s="102"/>
      <c r="B122" s="102"/>
    </row>
    <row r="123" spans="1:8" ht="15">
      <c r="A123" s="102"/>
      <c r="B123" s="102"/>
    </row>
    <row r="124" spans="1:8" ht="15">
      <c r="A124" s="102"/>
      <c r="B124" s="102"/>
    </row>
    <row r="178" spans="1:8" ht="15">
      <c r="A178" s="72"/>
      <c r="B178" s="72"/>
      <c r="C178" s="72"/>
      <c r="D178" s="72"/>
      <c r="E178" s="72"/>
      <c r="F178" s="72"/>
      <c r="G178" s="72"/>
      <c r="H178" s="72"/>
    </row>
    <row r="179" spans="1:8" ht="15">
      <c r="A179" s="72"/>
      <c r="B179" s="72"/>
      <c r="C179" s="72"/>
      <c r="D179" s="72"/>
      <c r="E179" s="72"/>
      <c r="F179" s="72"/>
      <c r="G179" s="72"/>
      <c r="H179" s="72"/>
    </row>
  </sheetData>
  <phoneticPr fontId="0" type="noConversion"/>
  <printOptions horizontalCentered="1"/>
  <pageMargins left="0.25" right="0.25" top="0.75" bottom="0.5" header="0.5" footer="0.5"/>
  <pageSetup scale="75" orientation="portrait" horizontalDpi="4294967292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K38"/>
  <sheetViews>
    <sheetView topLeftCell="A22" zoomScaleNormal="100" workbookViewId="0">
      <selection activeCell="N42" sqref="N42"/>
    </sheetView>
  </sheetViews>
  <sheetFormatPr defaultColWidth="15.6640625" defaultRowHeight="15"/>
  <cols>
    <col min="1" max="1" width="4.6640625" customWidth="1"/>
    <col min="2" max="2" width="1.6640625" customWidth="1"/>
    <col min="3" max="3" width="15.77734375" customWidth="1"/>
    <col min="4" max="4" width="2.6640625" hidden="1" customWidth="1"/>
    <col min="5" max="5" width="11" customWidth="1"/>
    <col min="6" max="6" width="1.6640625" customWidth="1"/>
    <col min="7" max="7" width="13.109375" customWidth="1"/>
    <col min="8" max="8" width="10.44140625" customWidth="1"/>
    <col min="9" max="9" width="13.77734375" customWidth="1"/>
    <col min="10" max="10" width="11.21875" customWidth="1"/>
    <col min="11" max="11" width="19.21875" customWidth="1"/>
    <col min="12" max="12" width="1.6640625" customWidth="1"/>
    <col min="13" max="13" width="8.6640625" customWidth="1"/>
  </cols>
  <sheetData>
    <row r="1" spans="1:37" s="4" customFormat="1">
      <c r="A1" s="1" t="s">
        <v>83</v>
      </c>
      <c r="B1" s="2"/>
      <c r="C1" s="2"/>
      <c r="D1" s="2"/>
      <c r="E1" s="2" t="s">
        <v>84</v>
      </c>
      <c r="F1" s="2"/>
      <c r="G1" s="2"/>
      <c r="H1" s="2"/>
      <c r="I1" s="2"/>
      <c r="J1" s="2"/>
      <c r="K1" s="3">
        <f ca="1">NOW()</f>
        <v>44902.644180787036</v>
      </c>
    </row>
    <row r="2" spans="1:37" s="4" customFormat="1">
      <c r="A2" s="5" t="s">
        <v>85</v>
      </c>
      <c r="E2" s="4" t="s">
        <v>112</v>
      </c>
      <c r="K2" s="6"/>
    </row>
    <row r="3" spans="1:37" s="4" customFormat="1">
      <c r="A3" s="5" t="s">
        <v>86</v>
      </c>
      <c r="E3" s="4" t="s">
        <v>115</v>
      </c>
      <c r="K3" s="6"/>
    </row>
    <row r="4" spans="1:37" s="4" customFormat="1">
      <c r="A4" s="7"/>
      <c r="B4" s="8"/>
      <c r="C4" s="8"/>
      <c r="D4" s="8"/>
      <c r="E4" s="8"/>
      <c r="F4" s="8"/>
      <c r="G4" s="56"/>
      <c r="H4" s="8"/>
      <c r="I4" s="8"/>
      <c r="J4" s="8"/>
      <c r="K4" s="9"/>
    </row>
    <row r="5" spans="1:37" s="4" customFormat="1">
      <c r="A5" s="10"/>
      <c r="B5" s="11"/>
      <c r="C5" s="11"/>
      <c r="D5" s="11"/>
      <c r="G5" s="57" t="s">
        <v>87</v>
      </c>
      <c r="H5" s="12" t="s">
        <v>88</v>
      </c>
      <c r="I5" s="12" t="s">
        <v>89</v>
      </c>
      <c r="J5" s="12" t="s">
        <v>90</v>
      </c>
      <c r="K5" s="13"/>
    </row>
    <row r="6" spans="1:37" s="4" customFormat="1">
      <c r="A6" s="10"/>
      <c r="B6" s="11"/>
      <c r="C6" s="11"/>
      <c r="D6" s="11"/>
      <c r="G6" s="57" t="s">
        <v>73</v>
      </c>
      <c r="H6" s="12" t="s">
        <v>73</v>
      </c>
      <c r="I6" s="12" t="s">
        <v>73</v>
      </c>
      <c r="J6" s="12" t="s">
        <v>73</v>
      </c>
      <c r="K6" s="14" t="s">
        <v>9</v>
      </c>
    </row>
    <row r="7" spans="1:37" s="4" customFormat="1">
      <c r="A7" s="10"/>
      <c r="B7" s="11"/>
      <c r="C7" s="11" t="s">
        <v>91</v>
      </c>
      <c r="D7" s="11"/>
      <c r="G7" s="57" t="s">
        <v>92</v>
      </c>
      <c r="H7" s="12" t="s">
        <v>93</v>
      </c>
      <c r="I7" s="12" t="s">
        <v>94</v>
      </c>
      <c r="J7" s="12" t="s">
        <v>95</v>
      </c>
      <c r="K7" s="14" t="s">
        <v>15</v>
      </c>
      <c r="N7" s="15"/>
    </row>
    <row r="8" spans="1:37" s="4" customFormat="1" ht="15" customHeight="1">
      <c r="A8" s="1"/>
      <c r="B8" s="2"/>
      <c r="C8" s="2"/>
      <c r="D8" s="2"/>
      <c r="E8" s="2"/>
      <c r="F8" s="2"/>
      <c r="G8" s="58"/>
      <c r="H8" s="63"/>
      <c r="I8" s="63"/>
      <c r="J8" s="63"/>
      <c r="K8" s="16"/>
    </row>
    <row r="9" spans="1:37" s="4" customFormat="1" ht="19.899999999999999" customHeight="1">
      <c r="A9" s="17" t="s">
        <v>16</v>
      </c>
      <c r="B9" s="18"/>
      <c r="C9" s="18" t="s">
        <v>96</v>
      </c>
      <c r="D9" s="19"/>
      <c r="E9" s="18"/>
      <c r="F9" s="18"/>
      <c r="G9" s="65">
        <v>7728</v>
      </c>
      <c r="H9" s="65">
        <f>28687-G9</f>
        <v>20959</v>
      </c>
      <c r="I9" s="65">
        <f>32240-H9-G9</f>
        <v>3553</v>
      </c>
      <c r="J9" s="65">
        <f>44451-I9-H9-G9</f>
        <v>12211</v>
      </c>
      <c r="K9" s="19">
        <f>G9+H9+I9+J9</f>
        <v>44451</v>
      </c>
    </row>
    <row r="10" spans="1:37" s="4" customFormat="1" ht="19.899999999999999" customHeight="1">
      <c r="A10" s="20"/>
      <c r="B10" s="21"/>
      <c r="C10" s="21" t="s">
        <v>0</v>
      </c>
      <c r="D10" s="22"/>
      <c r="E10" s="21"/>
      <c r="F10" s="21"/>
      <c r="G10" s="112"/>
      <c r="H10" s="65" t="s">
        <v>0</v>
      </c>
      <c r="I10" s="65" t="s">
        <v>0</v>
      </c>
      <c r="J10" s="65" t="s">
        <v>0</v>
      </c>
      <c r="K10" s="19"/>
    </row>
    <row r="11" spans="1:37" s="4" customFormat="1" ht="19.899999999999999" customHeight="1">
      <c r="A11" s="23">
        <v>0.05</v>
      </c>
      <c r="B11" s="18"/>
      <c r="C11" s="18" t="s">
        <v>97</v>
      </c>
      <c r="D11" s="19"/>
      <c r="E11" s="18"/>
      <c r="F11" s="18"/>
      <c r="G11" s="65">
        <v>10060</v>
      </c>
      <c r="H11" s="65">
        <f>16990-G11</f>
        <v>6930</v>
      </c>
      <c r="I11" s="65">
        <f>48307-H11-G11</f>
        <v>31317</v>
      </c>
      <c r="J11" s="65">
        <v>38988</v>
      </c>
      <c r="K11" s="19">
        <f t="shared" ref="K11:K29" si="0">G11+H11+I11+J11</f>
        <v>87295</v>
      </c>
    </row>
    <row r="12" spans="1:37" s="4" customFormat="1" ht="19.899999999999999" customHeight="1">
      <c r="A12" s="20"/>
      <c r="B12" s="21"/>
      <c r="C12" s="21" t="s">
        <v>0</v>
      </c>
      <c r="D12" s="22"/>
      <c r="E12" s="21"/>
      <c r="F12" s="21"/>
      <c r="G12" s="65" t="s">
        <v>0</v>
      </c>
      <c r="H12" s="65" t="s">
        <v>0</v>
      </c>
      <c r="I12" s="65" t="s">
        <v>0</v>
      </c>
      <c r="J12" s="65" t="s">
        <v>0</v>
      </c>
      <c r="K12" s="19"/>
    </row>
    <row r="13" spans="1:37" ht="19.899999999999999" customHeight="1">
      <c r="A13" s="23">
        <v>0.04</v>
      </c>
      <c r="B13" s="18"/>
      <c r="C13" s="18" t="s">
        <v>98</v>
      </c>
      <c r="D13" s="19"/>
      <c r="E13" s="18"/>
      <c r="F13" s="18"/>
      <c r="G13" s="65">
        <v>26317</v>
      </c>
      <c r="H13" s="65">
        <f>40469-G13</f>
        <v>14152</v>
      </c>
      <c r="I13" s="65">
        <f>51414-H13-G13</f>
        <v>10945</v>
      </c>
      <c r="J13" s="65">
        <f>60168-I13-H13-G13</f>
        <v>8754</v>
      </c>
      <c r="K13" s="19">
        <f t="shared" si="0"/>
        <v>60168</v>
      </c>
      <c r="L13" s="4"/>
      <c r="M13" s="4"/>
    </row>
    <row r="14" spans="1:37" ht="19.899999999999999" customHeight="1">
      <c r="A14" s="20"/>
      <c r="B14" s="21"/>
      <c r="C14" s="21" t="s">
        <v>0</v>
      </c>
      <c r="D14" s="22"/>
      <c r="E14" s="21"/>
      <c r="F14" s="21"/>
      <c r="G14" s="65" t="s">
        <v>0</v>
      </c>
      <c r="H14" s="65" t="s">
        <v>0</v>
      </c>
      <c r="I14" s="65" t="s">
        <v>0</v>
      </c>
      <c r="J14" s="65" t="s">
        <v>0</v>
      </c>
      <c r="K14" s="19"/>
      <c r="L14" s="4"/>
      <c r="M14" s="4"/>
    </row>
    <row r="15" spans="1:37" s="42" customFormat="1" ht="19.899999999999999" customHeight="1">
      <c r="A15" s="38">
        <v>0.05</v>
      </c>
      <c r="B15" s="39"/>
      <c r="C15" s="43" t="s">
        <v>47</v>
      </c>
      <c r="D15" s="40"/>
      <c r="E15" s="39"/>
      <c r="F15" s="39"/>
      <c r="G15" s="65">
        <v>114385</v>
      </c>
      <c r="H15" s="65">
        <f>171634.02-G15</f>
        <v>57249.01999999999</v>
      </c>
      <c r="I15" s="65">
        <f>215898.18-H15-G15</f>
        <v>44264.160000000003</v>
      </c>
      <c r="J15" s="65">
        <f>267105.64-I15-H15-G15</f>
        <v>51207.460000000021</v>
      </c>
      <c r="K15" s="19">
        <f t="shared" si="0"/>
        <v>267105.64</v>
      </c>
      <c r="L15" s="41"/>
      <c r="M15" s="4"/>
      <c r="N15"/>
      <c r="O15" s="108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</row>
    <row r="16" spans="1:37" ht="19.899999999999999" customHeight="1">
      <c r="A16" s="20"/>
      <c r="B16" s="21"/>
      <c r="C16" s="21"/>
      <c r="D16" s="22"/>
      <c r="E16" s="21"/>
      <c r="F16" s="21"/>
      <c r="G16" s="65" t="s">
        <v>0</v>
      </c>
      <c r="H16" s="65" t="s">
        <v>0</v>
      </c>
      <c r="I16" s="65" t="s">
        <v>0</v>
      </c>
      <c r="J16" s="65" t="s">
        <v>0</v>
      </c>
      <c r="K16" s="19"/>
      <c r="L16" s="4"/>
      <c r="M16" s="4"/>
    </row>
    <row r="17" spans="1:15" ht="19.899999999999999" customHeight="1">
      <c r="A17" s="17" t="s">
        <v>22</v>
      </c>
      <c r="B17" s="18"/>
      <c r="C17" s="18" t="s">
        <v>99</v>
      </c>
      <c r="D17" s="24" t="s">
        <v>100</v>
      </c>
      <c r="E17" s="18"/>
      <c r="F17" s="18"/>
      <c r="G17" s="65">
        <v>337.22</v>
      </c>
      <c r="H17" s="65">
        <f>1073-G17</f>
        <v>735.78</v>
      </c>
      <c r="I17" s="65">
        <f>1376.55-H17-G17</f>
        <v>303.54999999999995</v>
      </c>
      <c r="J17" s="65">
        <v>595.29999999999995</v>
      </c>
      <c r="K17" s="19">
        <f t="shared" si="0"/>
        <v>1971.85</v>
      </c>
      <c r="L17" s="4"/>
      <c r="M17" s="4"/>
      <c r="N17" s="44"/>
      <c r="O17" s="44"/>
    </row>
    <row r="18" spans="1:15" ht="19.899999999999999" customHeight="1">
      <c r="A18" s="20"/>
      <c r="B18" s="21"/>
      <c r="C18" s="21" t="s">
        <v>0</v>
      </c>
      <c r="D18" s="22"/>
      <c r="E18" s="21"/>
      <c r="F18" s="21"/>
      <c r="G18" s="65" t="s">
        <v>0</v>
      </c>
      <c r="H18" s="65" t="s">
        <v>0</v>
      </c>
      <c r="I18" s="65" t="s">
        <v>0</v>
      </c>
      <c r="J18" s="65" t="s">
        <v>0</v>
      </c>
      <c r="K18" s="19"/>
      <c r="L18" s="4"/>
      <c r="M18" s="4"/>
    </row>
    <row r="19" spans="1:15" ht="19.899999999999999" customHeight="1">
      <c r="A19" s="25">
        <v>0.03</v>
      </c>
      <c r="B19" s="18"/>
      <c r="C19" s="18" t="s">
        <v>101</v>
      </c>
      <c r="D19" s="19"/>
      <c r="E19" s="18"/>
      <c r="F19" s="18"/>
      <c r="G19" s="65">
        <v>30000</v>
      </c>
      <c r="H19" s="65">
        <v>26450</v>
      </c>
      <c r="I19" s="65">
        <v>28509</v>
      </c>
      <c r="J19" s="65">
        <f>50347</f>
        <v>50347</v>
      </c>
      <c r="K19" s="19">
        <f t="shared" si="0"/>
        <v>135306</v>
      </c>
      <c r="L19" s="4"/>
      <c r="M19" s="4"/>
    </row>
    <row r="20" spans="1:15" ht="19.899999999999999" customHeight="1">
      <c r="A20" s="20"/>
      <c r="B20" s="21"/>
      <c r="C20" s="21"/>
      <c r="D20" s="22"/>
      <c r="E20" s="21"/>
      <c r="F20" s="21"/>
      <c r="G20" s="65" t="s">
        <v>0</v>
      </c>
      <c r="H20" s="65" t="s">
        <v>0</v>
      </c>
      <c r="I20" s="65" t="s">
        <v>0</v>
      </c>
      <c r="J20" s="65" t="s">
        <v>0</v>
      </c>
      <c r="K20" s="19"/>
      <c r="L20" s="4"/>
      <c r="M20" s="4"/>
    </row>
    <row r="21" spans="1:15" ht="19.899999999999999" customHeight="1">
      <c r="A21" s="25">
        <v>0.05</v>
      </c>
      <c r="B21" s="18"/>
      <c r="C21" s="18" t="s">
        <v>102</v>
      </c>
      <c r="D21" s="19"/>
      <c r="E21" s="18"/>
      <c r="F21" s="18"/>
      <c r="G21" s="65">
        <v>5774.33</v>
      </c>
      <c r="H21" s="65">
        <f>9623.39-G21</f>
        <v>3849.0599999999995</v>
      </c>
      <c r="I21" s="65">
        <v>9106.5</v>
      </c>
      <c r="J21" s="65">
        <v>13965.52</v>
      </c>
      <c r="K21" s="19">
        <f t="shared" si="0"/>
        <v>32695.41</v>
      </c>
      <c r="L21" s="4"/>
      <c r="M21" s="4" t="s">
        <v>0</v>
      </c>
    </row>
    <row r="22" spans="1:15" ht="19.899999999999999" customHeight="1">
      <c r="A22" s="20"/>
      <c r="B22" s="21"/>
      <c r="C22" s="21"/>
      <c r="D22" s="22"/>
      <c r="E22" s="21"/>
      <c r="F22" s="21"/>
      <c r="G22" s="65" t="s">
        <v>0</v>
      </c>
      <c r="H22" s="65" t="s">
        <v>0</v>
      </c>
      <c r="I22" s="65" t="s">
        <v>0</v>
      </c>
      <c r="J22" s="65" t="s">
        <v>0</v>
      </c>
      <c r="K22" s="19" t="s">
        <v>0</v>
      </c>
      <c r="L22" s="4"/>
      <c r="M22" s="4"/>
    </row>
    <row r="23" spans="1:15" ht="19.899999999999999" customHeight="1">
      <c r="A23" s="23">
        <v>0.05</v>
      </c>
      <c r="B23" s="18"/>
      <c r="C23" s="18" t="s">
        <v>103</v>
      </c>
      <c r="D23" s="19"/>
      <c r="E23" s="18"/>
      <c r="F23" s="18"/>
      <c r="G23" s="65">
        <v>22844</v>
      </c>
      <c r="H23" s="65">
        <f>30592-G23</f>
        <v>7748</v>
      </c>
      <c r="I23" s="65">
        <f>31982-H23-G23</f>
        <v>1390</v>
      </c>
      <c r="J23" s="65">
        <f>36759-I23-H23-G23</f>
        <v>4777</v>
      </c>
      <c r="K23" s="19">
        <f t="shared" si="0"/>
        <v>36759</v>
      </c>
      <c r="L23" s="4"/>
      <c r="M23" s="4"/>
    </row>
    <row r="24" spans="1:15" ht="19.899999999999999" customHeight="1">
      <c r="A24" s="20"/>
      <c r="B24" s="21"/>
      <c r="C24" s="21" t="s">
        <v>0</v>
      </c>
      <c r="D24" s="22"/>
      <c r="E24" s="21"/>
      <c r="F24" s="21"/>
      <c r="G24" s="65" t="s">
        <v>0</v>
      </c>
      <c r="H24" s="65" t="s">
        <v>0</v>
      </c>
      <c r="I24" s="65" t="s">
        <v>0</v>
      </c>
      <c r="J24" s="65" t="s">
        <v>0</v>
      </c>
      <c r="K24" s="19"/>
      <c r="L24" s="4"/>
      <c r="M24" s="4"/>
    </row>
    <row r="25" spans="1:15" ht="19.899999999999999" customHeight="1">
      <c r="A25" s="23">
        <v>0.04</v>
      </c>
      <c r="B25" s="18"/>
      <c r="C25" s="18" t="s">
        <v>104</v>
      </c>
      <c r="D25" s="19"/>
      <c r="E25" s="18"/>
      <c r="F25" s="18"/>
      <c r="G25" s="65">
        <v>169258</v>
      </c>
      <c r="H25" s="65">
        <f>269917-G25</f>
        <v>100659</v>
      </c>
      <c r="I25" s="65">
        <f>316290-H25-G25</f>
        <v>46373</v>
      </c>
      <c r="J25" s="65">
        <f>353235-I25-H25-G25</f>
        <v>36945</v>
      </c>
      <c r="K25" s="19">
        <f t="shared" si="0"/>
        <v>353235</v>
      </c>
      <c r="L25" s="4"/>
      <c r="M25" s="4" t="s">
        <v>0</v>
      </c>
    </row>
    <row r="26" spans="1:15" ht="19.899999999999999" customHeight="1">
      <c r="A26" s="20"/>
      <c r="B26" s="21"/>
      <c r="C26" s="21" t="s">
        <v>0</v>
      </c>
      <c r="D26" s="22"/>
      <c r="E26" s="21"/>
      <c r="F26" s="21"/>
      <c r="G26" s="65" t="s">
        <v>0</v>
      </c>
      <c r="H26" s="65" t="s">
        <v>0</v>
      </c>
      <c r="I26" s="65" t="s">
        <v>0</v>
      </c>
      <c r="J26" s="65" t="s">
        <v>0</v>
      </c>
      <c r="K26" s="19"/>
      <c r="L26" s="4"/>
      <c r="M26" s="4"/>
    </row>
    <row r="27" spans="1:15" ht="19.899999999999999" customHeight="1">
      <c r="A27" s="17" t="s">
        <v>22</v>
      </c>
      <c r="B27" s="18"/>
      <c r="C27" s="18" t="s">
        <v>105</v>
      </c>
      <c r="D27" s="19"/>
      <c r="E27" s="18"/>
      <c r="F27" s="18"/>
      <c r="G27" s="65">
        <v>357</v>
      </c>
      <c r="H27" s="65">
        <f>2731-G27</f>
        <v>2374</v>
      </c>
      <c r="I27" s="65">
        <f>3429-H27-G27</f>
        <v>698</v>
      </c>
      <c r="J27" s="65">
        <f>3776-I27-H27-G27</f>
        <v>347</v>
      </c>
      <c r="K27" s="19">
        <f t="shared" si="0"/>
        <v>3776</v>
      </c>
      <c r="L27" s="4"/>
      <c r="M27" s="4"/>
    </row>
    <row r="28" spans="1:15" ht="19.899999999999999" customHeight="1">
      <c r="A28" s="20"/>
      <c r="B28" s="21"/>
      <c r="C28" s="21" t="s">
        <v>0</v>
      </c>
      <c r="D28" s="22"/>
      <c r="E28" s="21"/>
      <c r="F28" s="21"/>
      <c r="G28" s="65" t="s">
        <v>0</v>
      </c>
      <c r="H28" s="65" t="s">
        <v>0</v>
      </c>
      <c r="I28" s="65" t="s">
        <v>0</v>
      </c>
      <c r="J28" s="65" t="s">
        <v>0</v>
      </c>
      <c r="K28" s="19"/>
      <c r="L28" s="4"/>
      <c r="M28" s="4"/>
    </row>
    <row r="29" spans="1:15" ht="19.899999999999999" customHeight="1">
      <c r="A29" s="23">
        <v>0.05</v>
      </c>
      <c r="B29" s="18"/>
      <c r="C29" s="18" t="s">
        <v>65</v>
      </c>
      <c r="D29" s="22"/>
      <c r="E29" s="18"/>
      <c r="F29" s="18"/>
      <c r="G29" s="65">
        <v>90092.11</v>
      </c>
      <c r="H29" s="65">
        <f>153145-G29</f>
        <v>63052.89</v>
      </c>
      <c r="I29" s="65">
        <f>200220.11-H29-G29</f>
        <v>47075.109999999971</v>
      </c>
      <c r="J29" s="65">
        <f>261241.3-I29-H29-G29</f>
        <v>61021.189999999988</v>
      </c>
      <c r="K29" s="19">
        <f t="shared" si="0"/>
        <v>261241.3</v>
      </c>
      <c r="L29" s="4"/>
      <c r="M29" s="4"/>
    </row>
    <row r="30" spans="1:15" ht="19.899999999999999" customHeight="1">
      <c r="A30" s="20"/>
      <c r="B30" s="21"/>
      <c r="C30" s="21"/>
      <c r="D30" s="21"/>
      <c r="E30" s="26"/>
      <c r="F30" s="26"/>
      <c r="G30" s="112"/>
      <c r="H30" s="112"/>
      <c r="I30" s="112"/>
      <c r="J30" s="113" t="s">
        <v>0</v>
      </c>
      <c r="K30" s="19"/>
      <c r="L30" s="4"/>
      <c r="M30" s="4"/>
    </row>
    <row r="31" spans="1:15" ht="17.25" thickBot="1">
      <c r="A31" s="27"/>
      <c r="B31" s="28"/>
      <c r="C31" s="28" t="s">
        <v>106</v>
      </c>
      <c r="D31" s="29"/>
      <c r="E31" s="28"/>
      <c r="F31" s="28"/>
      <c r="G31" s="62">
        <f>SUM(G9:G30)</f>
        <v>477152.66</v>
      </c>
      <c r="H31" s="62">
        <f>SUM(H9:H30)</f>
        <v>304158.75</v>
      </c>
      <c r="I31" s="62">
        <f>SUM(I8:I30)</f>
        <v>223534.32</v>
      </c>
      <c r="J31" s="107">
        <f>SUM(J8:J30)</f>
        <v>279158.46999999997</v>
      </c>
      <c r="K31" s="104">
        <f>G31+H31+I31+J31</f>
        <v>1284004.2</v>
      </c>
      <c r="L31" s="4"/>
      <c r="M31" s="4"/>
    </row>
    <row r="32" spans="1:15" s="4" customFormat="1" ht="15.75" thickTop="1">
      <c r="A32" s="5"/>
      <c r="I32" s="30"/>
      <c r="J32" s="30"/>
      <c r="K32" s="6"/>
    </row>
    <row r="33" spans="1:13" s="4" customFormat="1" ht="15.75">
      <c r="A33" s="31">
        <v>1</v>
      </c>
      <c r="B33" s="32"/>
      <c r="C33" s="4" t="s">
        <v>107</v>
      </c>
      <c r="K33" s="6"/>
    </row>
    <row r="34" spans="1:13" ht="15.75">
      <c r="A34" s="33"/>
      <c r="B34" s="4"/>
      <c r="C34" s="4"/>
      <c r="D34" s="4"/>
      <c r="E34" s="4"/>
      <c r="F34" s="4"/>
      <c r="G34" s="4"/>
      <c r="H34" s="4"/>
      <c r="I34" s="4"/>
      <c r="J34" s="4"/>
      <c r="K34" s="6"/>
      <c r="L34" s="4"/>
      <c r="M34" s="4"/>
    </row>
    <row r="35" spans="1:13">
      <c r="A35" s="34"/>
      <c r="B35" s="35"/>
      <c r="C35" s="35"/>
      <c r="D35" s="35"/>
      <c r="E35" s="35"/>
      <c r="F35" s="35"/>
      <c r="G35" s="35"/>
      <c r="H35" s="35"/>
      <c r="I35" s="35"/>
      <c r="J35" s="35"/>
      <c r="K35" s="36"/>
    </row>
    <row r="38" spans="1:13" ht="15.75">
      <c r="C38" s="37"/>
    </row>
  </sheetData>
  <pageMargins left="0.7" right="0.7" top="0.75" bottom="0.75" header="0.3" footer="0.3"/>
  <pageSetup orientation="portrait" r:id="rId1"/>
  <colBreaks count="1" manualBreakCount="1">
    <brk id="12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L179"/>
  <sheetViews>
    <sheetView zoomScaleNormal="100" workbookViewId="0">
      <pane ySplit="7" topLeftCell="A41" activePane="bottomLeft" state="frozen"/>
      <selection pane="bottomLeft" activeCell="B42" sqref="B42"/>
    </sheetView>
  </sheetViews>
  <sheetFormatPr defaultColWidth="8.77734375" defaultRowHeight="14.25"/>
  <cols>
    <col min="1" max="1" width="6.44140625" style="55" customWidth="1"/>
    <col min="2" max="2" width="29.109375" style="55" customWidth="1"/>
    <col min="3" max="3" width="11.6640625" style="55" customWidth="1"/>
    <col min="4" max="4" width="13.5546875" style="55" customWidth="1"/>
    <col min="5" max="5" width="13.21875" style="55" customWidth="1"/>
    <col min="6" max="6" width="12.77734375" style="55" customWidth="1"/>
    <col min="7" max="7" width="14.77734375" style="55" customWidth="1"/>
    <col min="8" max="8" width="8.77734375" style="55"/>
    <col min="9" max="10" width="9.6640625" style="55" bestFit="1" customWidth="1"/>
    <col min="11" max="16384" width="8.77734375" style="55"/>
  </cols>
  <sheetData>
    <row r="1" spans="1:12" s="47" customFormat="1">
      <c r="A1" s="45" t="s">
        <v>0</v>
      </c>
      <c r="B1" s="46"/>
      <c r="C1" s="46" t="s">
        <v>1</v>
      </c>
      <c r="D1" s="46"/>
      <c r="E1" s="46"/>
      <c r="F1" s="46"/>
      <c r="G1" s="73">
        <f ca="1">NOW()</f>
        <v>44902.644180787036</v>
      </c>
    </row>
    <row r="2" spans="1:12" s="47" customFormat="1">
      <c r="A2" s="48" t="s">
        <v>0</v>
      </c>
      <c r="C2" s="47" t="s">
        <v>110</v>
      </c>
      <c r="G2" s="49"/>
    </row>
    <row r="3" spans="1:12" s="47" customFormat="1">
      <c r="A3" s="48" t="s">
        <v>0</v>
      </c>
      <c r="C3" s="47" t="s">
        <v>116</v>
      </c>
      <c r="G3" s="49"/>
    </row>
    <row r="4" spans="1:12" s="47" customFormat="1">
      <c r="A4" s="69" t="s">
        <v>2</v>
      </c>
      <c r="B4" s="70" t="s">
        <v>2</v>
      </c>
      <c r="C4" s="70" t="s">
        <v>2</v>
      </c>
      <c r="D4" s="70" t="s">
        <v>2</v>
      </c>
      <c r="E4" s="70" t="s">
        <v>2</v>
      </c>
      <c r="F4" s="70" t="s">
        <v>2</v>
      </c>
      <c r="G4" s="71" t="s">
        <v>2</v>
      </c>
    </row>
    <row r="5" spans="1:12" s="47" customFormat="1">
      <c r="A5" s="48"/>
      <c r="B5" s="74"/>
      <c r="C5" s="75" t="s">
        <v>3</v>
      </c>
      <c r="D5" s="75" t="s">
        <v>4</v>
      </c>
      <c r="E5" s="75" t="s">
        <v>5</v>
      </c>
      <c r="F5" s="75" t="s">
        <v>6</v>
      </c>
      <c r="G5" s="76"/>
    </row>
    <row r="6" spans="1:12" s="47" customFormat="1">
      <c r="A6" s="48"/>
      <c r="B6" s="74"/>
      <c r="C6" s="75" t="s">
        <v>7</v>
      </c>
      <c r="D6" s="75" t="s">
        <v>8</v>
      </c>
      <c r="E6" s="75" t="s">
        <v>7</v>
      </c>
      <c r="F6" s="75" t="s">
        <v>73</v>
      </c>
      <c r="G6" s="77" t="s">
        <v>9</v>
      </c>
    </row>
    <row r="7" spans="1:12" s="47" customFormat="1">
      <c r="A7" s="68"/>
      <c r="B7" s="78" t="s">
        <v>10</v>
      </c>
      <c r="C7" s="79" t="s">
        <v>11</v>
      </c>
      <c r="D7" s="79" t="s">
        <v>12</v>
      </c>
      <c r="E7" s="80" t="s">
        <v>13</v>
      </c>
      <c r="F7" s="79" t="s">
        <v>14</v>
      </c>
      <c r="G7" s="81" t="s">
        <v>15</v>
      </c>
    </row>
    <row r="8" spans="1:12" s="47" customFormat="1" ht="15">
      <c r="A8" s="82" t="s">
        <v>16</v>
      </c>
      <c r="B8" s="83" t="s">
        <v>17</v>
      </c>
      <c r="C8" s="84">
        <v>127395</v>
      </c>
      <c r="D8" s="84">
        <f>243028.85-C8</f>
        <v>115633.85</v>
      </c>
      <c r="E8" s="84">
        <f>348028.85-D8-C8</f>
        <v>104999.99999999997</v>
      </c>
      <c r="F8" s="84">
        <f>470836-E8-D8-C8</f>
        <v>122807.15</v>
      </c>
      <c r="G8" s="86">
        <f>(C8+D8+E8+F8)</f>
        <v>470836</v>
      </c>
    </row>
    <row r="9" spans="1:12" s="131" customFormat="1" ht="15">
      <c r="A9" s="130">
        <v>0.05</v>
      </c>
      <c r="B9" s="89" t="s">
        <v>78</v>
      </c>
      <c r="C9" s="111">
        <v>2933583</v>
      </c>
      <c r="D9" s="111">
        <f>5727295-C9</f>
        <v>2793712</v>
      </c>
      <c r="E9" s="111">
        <f>7667308-D9-C9</f>
        <v>1940013</v>
      </c>
      <c r="F9" s="111">
        <f>9206720-E9-D9-C9</f>
        <v>1539412</v>
      </c>
      <c r="G9" s="140">
        <f>(C9+D9+E9+F9)</f>
        <v>9206720</v>
      </c>
    </row>
    <row r="10" spans="1:12" s="131" customFormat="1" ht="15">
      <c r="A10" s="130">
        <v>0.01</v>
      </c>
      <c r="B10" s="89" t="s">
        <v>81</v>
      </c>
      <c r="C10" s="111">
        <v>586717</v>
      </c>
      <c r="D10" s="111">
        <f>1145459-C10</f>
        <v>558742</v>
      </c>
      <c r="E10" s="111">
        <f>1533462-D10-C10</f>
        <v>388003</v>
      </c>
      <c r="F10" s="111">
        <f>1842179-E10-D110-C10</f>
        <v>867459</v>
      </c>
      <c r="G10" s="140">
        <f>(C10+D10+E10+F10)</f>
        <v>2400921</v>
      </c>
    </row>
    <row r="11" spans="1:12" s="47" customFormat="1" ht="15">
      <c r="A11" s="82" t="s">
        <v>16</v>
      </c>
      <c r="B11" s="85" t="s">
        <v>18</v>
      </c>
      <c r="C11" s="84">
        <v>31264</v>
      </c>
      <c r="D11" s="84">
        <f>78931-C11</f>
        <v>47667</v>
      </c>
      <c r="E11" s="141">
        <v>0</v>
      </c>
      <c r="F11" s="111">
        <f>261111</f>
        <v>261111</v>
      </c>
      <c r="G11" s="90">
        <f>(C11+D11+E11+F11)</f>
        <v>340042</v>
      </c>
      <c r="H11" s="47" t="s">
        <v>0</v>
      </c>
      <c r="J11" s="47" t="s">
        <v>0</v>
      </c>
      <c r="L11" s="47" t="s">
        <v>0</v>
      </c>
    </row>
    <row r="12" spans="1:12" s="47" customFormat="1" ht="15">
      <c r="A12" s="82" t="s">
        <v>16</v>
      </c>
      <c r="B12" s="85" t="s">
        <v>19</v>
      </c>
      <c r="C12" s="111">
        <v>67460</v>
      </c>
      <c r="D12" s="111">
        <f>142659-C12</f>
        <v>75199</v>
      </c>
      <c r="E12" s="84">
        <f>210403-D12-C12</f>
        <v>67744</v>
      </c>
      <c r="F12" s="84">
        <f>281865-E12-D12-C12</f>
        <v>71462</v>
      </c>
      <c r="G12" s="86">
        <f>(C12+D12+E12+F12)</f>
        <v>281865</v>
      </c>
    </row>
    <row r="13" spans="1:12" s="47" customFormat="1" ht="15">
      <c r="A13" s="82" t="s">
        <v>16</v>
      </c>
      <c r="B13" s="85" t="s">
        <v>20</v>
      </c>
      <c r="C13" s="111">
        <v>2366.7199999999998</v>
      </c>
      <c r="D13" s="84">
        <f>5191.17-C13</f>
        <v>2824.4500000000003</v>
      </c>
      <c r="E13" s="84">
        <f>6991.41-D13-C13</f>
        <v>1800.2399999999993</v>
      </c>
      <c r="F13" s="84">
        <f>10497-E13-D13-C13</f>
        <v>3505.5899999999997</v>
      </c>
      <c r="G13" s="86">
        <f>SUM(C13:F13)</f>
        <v>10497</v>
      </c>
    </row>
    <row r="14" spans="1:12" s="47" customFormat="1" ht="15">
      <c r="A14" s="87">
        <v>0.04</v>
      </c>
      <c r="B14" s="85" t="s">
        <v>21</v>
      </c>
      <c r="C14" s="84">
        <v>12430.31</v>
      </c>
      <c r="D14" s="84">
        <f>20708-C14</f>
        <v>8277.69</v>
      </c>
      <c r="E14" s="84">
        <f>27193-D14-C14</f>
        <v>6484.9999999999982</v>
      </c>
      <c r="F14" s="84">
        <f>42927-E14-D14-C14</f>
        <v>15733.999999999998</v>
      </c>
      <c r="G14" s="86">
        <f>(C14+D14+E14+F14)</f>
        <v>42927</v>
      </c>
    </row>
    <row r="15" spans="1:12" s="47" customFormat="1" ht="15">
      <c r="A15" s="82" t="s">
        <v>22</v>
      </c>
      <c r="B15" s="85" t="s">
        <v>23</v>
      </c>
      <c r="C15" s="84">
        <v>32371</v>
      </c>
      <c r="D15" s="84">
        <v>28408</v>
      </c>
      <c r="E15" s="111">
        <v>16733</v>
      </c>
      <c r="F15" s="84">
        <v>24399</v>
      </c>
      <c r="G15" s="86">
        <f>(C15+D15+E15+F15)</f>
        <v>101911</v>
      </c>
    </row>
    <row r="16" spans="1:12" s="47" customFormat="1" ht="15">
      <c r="A16" s="87">
        <v>0.03</v>
      </c>
      <c r="B16" s="85" t="s">
        <v>75</v>
      </c>
      <c r="C16" s="84">
        <v>16132</v>
      </c>
      <c r="D16" s="111">
        <f>31521-C16</f>
        <v>15389</v>
      </c>
      <c r="E16" s="84">
        <f>39977-D16-C16</f>
        <v>8456</v>
      </c>
      <c r="F16" s="111">
        <f>52732-E16-D16-C16</f>
        <v>12755</v>
      </c>
      <c r="G16" s="86">
        <f>C16+D16+E16+F16</f>
        <v>52732</v>
      </c>
    </row>
    <row r="17" spans="1:8" s="47" customFormat="1" ht="15">
      <c r="A17" s="87">
        <v>0.03</v>
      </c>
      <c r="B17" s="85" t="s">
        <v>76</v>
      </c>
      <c r="C17" s="111">
        <v>2074.3000000000002</v>
      </c>
      <c r="D17" s="84">
        <f>5329.72-C17</f>
        <v>3255.42</v>
      </c>
      <c r="E17" s="84">
        <f>8592.61-D17-C17</f>
        <v>3262.8900000000003</v>
      </c>
      <c r="F17" s="84">
        <v>5035.3599999999997</v>
      </c>
      <c r="G17" s="86">
        <f>(C17+D17+E17+F17)</f>
        <v>13627.970000000001</v>
      </c>
    </row>
    <row r="18" spans="1:8" s="47" customFormat="1" ht="15">
      <c r="A18" s="87">
        <v>0.05</v>
      </c>
      <c r="B18" s="85" t="s">
        <v>24</v>
      </c>
      <c r="C18" s="84">
        <v>230586</v>
      </c>
      <c r="D18" s="84">
        <f>415820-C18</f>
        <v>185234</v>
      </c>
      <c r="E18" s="111">
        <f>598647-D18-C18</f>
        <v>182827</v>
      </c>
      <c r="F18" s="111">
        <f>849821-E18-D18-C18</f>
        <v>251174</v>
      </c>
      <c r="G18" s="86">
        <f>C18+D18+E18+F18</f>
        <v>849821</v>
      </c>
    </row>
    <row r="19" spans="1:8" s="47" customFormat="1" ht="15">
      <c r="A19" s="82" t="s">
        <v>22</v>
      </c>
      <c r="B19" s="85" t="s">
        <v>25</v>
      </c>
      <c r="C19" s="111">
        <v>1851</v>
      </c>
      <c r="D19" s="84">
        <f>3333-C19</f>
        <v>1482</v>
      </c>
      <c r="E19" s="111">
        <f>4752-D19-C19</f>
        <v>1419</v>
      </c>
      <c r="F19" s="111">
        <f>6183-E19-D19-C19</f>
        <v>1431</v>
      </c>
      <c r="G19" s="86">
        <f t="shared" ref="G19:G30" si="0">(C19+D19+E19+F19)</f>
        <v>6183</v>
      </c>
      <c r="H19" s="47" t="s">
        <v>0</v>
      </c>
    </row>
    <row r="20" spans="1:8" s="47" customFormat="1" ht="15">
      <c r="A20" s="87">
        <v>0.04</v>
      </c>
      <c r="B20" s="85" t="s">
        <v>26</v>
      </c>
      <c r="C20" s="84">
        <v>35720</v>
      </c>
      <c r="D20" s="84">
        <f>57370-C20</f>
        <v>21650</v>
      </c>
      <c r="E20" s="111">
        <f>67464-D20-C20</f>
        <v>10094</v>
      </c>
      <c r="F20" s="84">
        <f>70707-E20-D20-C20</f>
        <v>3243</v>
      </c>
      <c r="G20" s="86">
        <f t="shared" si="0"/>
        <v>70707</v>
      </c>
    </row>
    <row r="21" spans="1:8" s="47" customFormat="1" ht="15">
      <c r="A21" s="82" t="s">
        <v>27</v>
      </c>
      <c r="B21" s="85" t="s">
        <v>28</v>
      </c>
      <c r="C21" s="84">
        <v>9456</v>
      </c>
      <c r="D21" s="84">
        <f>13551-C21</f>
        <v>4095</v>
      </c>
      <c r="E21" s="84">
        <f>15189-D21-C21</f>
        <v>1638</v>
      </c>
      <c r="F21" s="84">
        <f>18801-E21-D21-C21</f>
        <v>3612</v>
      </c>
      <c r="G21" s="86">
        <f t="shared" si="0"/>
        <v>18801</v>
      </c>
    </row>
    <row r="22" spans="1:8" s="47" customFormat="1" ht="15">
      <c r="A22" s="87">
        <v>0.05</v>
      </c>
      <c r="B22" s="85" t="s">
        <v>29</v>
      </c>
      <c r="C22" s="84">
        <v>50676.41</v>
      </c>
      <c r="D22" s="84">
        <f>78961.71-C22</f>
        <v>28285.300000000003</v>
      </c>
      <c r="E22" s="84">
        <f>95289.04-D22-C22</f>
        <v>16327.329999999987</v>
      </c>
      <c r="F22" s="84">
        <f>117271.98-E22-D22-C22</f>
        <v>21982.940000000002</v>
      </c>
      <c r="G22" s="86">
        <f t="shared" si="0"/>
        <v>117271.98</v>
      </c>
    </row>
    <row r="23" spans="1:8" s="47" customFormat="1" ht="15">
      <c r="A23" s="87">
        <v>0.05</v>
      </c>
      <c r="B23" s="85" t="s">
        <v>77</v>
      </c>
      <c r="C23" s="84">
        <v>46083</v>
      </c>
      <c r="D23" s="84">
        <f>79353-C23</f>
        <v>33270</v>
      </c>
      <c r="E23" s="84">
        <f>98701-D23-C23</f>
        <v>19348</v>
      </c>
      <c r="F23" s="84">
        <f>124094-E23-D23-C23</f>
        <v>25393</v>
      </c>
      <c r="G23" s="86">
        <f t="shared" si="0"/>
        <v>124094</v>
      </c>
    </row>
    <row r="24" spans="1:8" s="47" customFormat="1" ht="15">
      <c r="A24" s="87">
        <v>0.05</v>
      </c>
      <c r="B24" s="85" t="s">
        <v>30</v>
      </c>
      <c r="C24" s="84">
        <v>149775.53</v>
      </c>
      <c r="D24" s="84">
        <v>140344.34</v>
      </c>
      <c r="E24" s="84">
        <v>106598.06</v>
      </c>
      <c r="F24" s="84">
        <f>537616.34-E24-D24-C24</f>
        <v>140898.40999999995</v>
      </c>
      <c r="G24" s="86">
        <f t="shared" si="0"/>
        <v>537616.34</v>
      </c>
    </row>
    <row r="25" spans="1:8" s="47" customFormat="1" ht="15">
      <c r="A25" s="87">
        <v>0.05</v>
      </c>
      <c r="B25" s="85" t="s">
        <v>31</v>
      </c>
      <c r="C25" s="84">
        <v>680</v>
      </c>
      <c r="D25" s="111">
        <f>1702-C25</f>
        <v>1022</v>
      </c>
      <c r="E25" s="111">
        <f>2555-D25-C25</f>
        <v>853</v>
      </c>
      <c r="F25" s="111">
        <f>3385-E25-D25-C25</f>
        <v>830</v>
      </c>
      <c r="G25" s="86">
        <f t="shared" si="0"/>
        <v>3385</v>
      </c>
      <c r="H25" s="47" t="s">
        <v>0</v>
      </c>
    </row>
    <row r="26" spans="1:8" s="47" customFormat="1" ht="15">
      <c r="A26" s="93">
        <v>3.5000000000000003E-2</v>
      </c>
      <c r="B26" s="85" t="s">
        <v>74</v>
      </c>
      <c r="C26" s="84">
        <v>1828</v>
      </c>
      <c r="D26" s="111">
        <f>3248-C26</f>
        <v>1420</v>
      </c>
      <c r="E26" s="111">
        <f>4288-D26-C26</f>
        <v>1040</v>
      </c>
      <c r="F26" s="111">
        <f>5889-E26-D26-C26</f>
        <v>1601</v>
      </c>
      <c r="G26" s="86">
        <f t="shared" si="0"/>
        <v>5889</v>
      </c>
    </row>
    <row r="27" spans="1:8" s="47" customFormat="1" ht="15">
      <c r="A27" s="82" t="s">
        <v>22</v>
      </c>
      <c r="B27" s="85" t="s">
        <v>32</v>
      </c>
      <c r="C27" s="111">
        <v>4265</v>
      </c>
      <c r="D27" s="84">
        <f>7642-C27</f>
        <v>3377</v>
      </c>
      <c r="E27" s="111">
        <v>5359</v>
      </c>
      <c r="F27" s="111">
        <v>5889</v>
      </c>
      <c r="G27" s="86">
        <f t="shared" si="0"/>
        <v>18890</v>
      </c>
      <c r="H27" s="47" t="s">
        <v>0</v>
      </c>
    </row>
    <row r="28" spans="1:8" s="47" customFormat="1" ht="15">
      <c r="A28" s="94" t="s">
        <v>16</v>
      </c>
      <c r="B28" s="95" t="s">
        <v>80</v>
      </c>
      <c r="C28" s="85">
        <v>88772</v>
      </c>
      <c r="D28" s="84">
        <f>170005-C28</f>
        <v>81233</v>
      </c>
      <c r="E28" s="111">
        <f>273286-D28-C28</f>
        <v>103281</v>
      </c>
      <c r="F28" s="84">
        <f>379071-E28-D28-C28</f>
        <v>105785</v>
      </c>
      <c r="G28" s="86">
        <f t="shared" si="0"/>
        <v>379071</v>
      </c>
    </row>
    <row r="29" spans="1:8" s="47" customFormat="1" ht="15">
      <c r="A29" s="82" t="s">
        <v>22</v>
      </c>
      <c r="B29" s="85" t="s">
        <v>33</v>
      </c>
      <c r="C29" s="84">
        <v>18337</v>
      </c>
      <c r="D29" s="84">
        <f>25256-C29</f>
        <v>6919</v>
      </c>
      <c r="E29" s="84">
        <f>30768-D29-C29</f>
        <v>5512</v>
      </c>
      <c r="F29" s="84">
        <f>36033-E29-D29-C29</f>
        <v>5265</v>
      </c>
      <c r="G29" s="86">
        <f t="shared" si="0"/>
        <v>36033</v>
      </c>
    </row>
    <row r="30" spans="1:8" s="47" customFormat="1" ht="15">
      <c r="A30" s="87">
        <v>0.05</v>
      </c>
      <c r="B30" s="85" t="s">
        <v>72</v>
      </c>
      <c r="C30" s="84">
        <v>11434.06</v>
      </c>
      <c r="D30" s="84">
        <v>9016.8700000000008</v>
      </c>
      <c r="E30" s="111">
        <v>4464.25</v>
      </c>
      <c r="F30" s="84">
        <f>33406-E30-D30-C30</f>
        <v>8490.8199999999979</v>
      </c>
      <c r="G30" s="86">
        <f t="shared" si="0"/>
        <v>33406</v>
      </c>
    </row>
    <row r="31" spans="1:8" s="47" customFormat="1" ht="15">
      <c r="A31" s="87">
        <v>0.05</v>
      </c>
      <c r="B31" s="85" t="s">
        <v>34</v>
      </c>
      <c r="C31" s="84">
        <v>42002</v>
      </c>
      <c r="D31" s="111">
        <f>58098-C31</f>
        <v>16096</v>
      </c>
      <c r="E31" s="111">
        <f>67697-D31-C31</f>
        <v>9599</v>
      </c>
      <c r="F31" s="84" t="s">
        <v>145</v>
      </c>
      <c r="G31" s="86">
        <f>(C31+D31+E31)</f>
        <v>67697</v>
      </c>
    </row>
    <row r="32" spans="1:8" s="47" customFormat="1" ht="15.75">
      <c r="A32" s="82" t="s">
        <v>16</v>
      </c>
      <c r="B32" s="85" t="s">
        <v>35</v>
      </c>
      <c r="C32" s="110">
        <v>307329</v>
      </c>
      <c r="D32" s="84">
        <f>568951-C32</f>
        <v>261622</v>
      </c>
      <c r="E32" s="84">
        <f>776795-D32-C32</f>
        <v>207844</v>
      </c>
      <c r="F32" s="84">
        <f>1068354-E32-D32-C32</f>
        <v>291559</v>
      </c>
      <c r="G32" s="86">
        <f t="shared" ref="G32:G59" si="1">(C32+D32+E32+F32)</f>
        <v>1068354</v>
      </c>
    </row>
    <row r="33" spans="1:7" s="47" customFormat="1" ht="15">
      <c r="A33" s="82" t="s">
        <v>16</v>
      </c>
      <c r="B33" s="85" t="s">
        <v>36</v>
      </c>
      <c r="C33" s="84">
        <v>7649</v>
      </c>
      <c r="D33" s="84">
        <f>13070-C33</f>
        <v>5421</v>
      </c>
      <c r="E33" s="84">
        <f>16550-D33-C33</f>
        <v>3480</v>
      </c>
      <c r="F33" s="84">
        <f>21194-E33-C33-C33</f>
        <v>2416</v>
      </c>
      <c r="G33" s="86">
        <f t="shared" si="1"/>
        <v>18966</v>
      </c>
    </row>
    <row r="34" spans="1:7" s="47" customFormat="1" ht="15">
      <c r="A34" s="82" t="s">
        <v>16</v>
      </c>
      <c r="B34" s="85" t="s">
        <v>37</v>
      </c>
      <c r="C34" s="84">
        <v>335292</v>
      </c>
      <c r="D34" s="111">
        <f>603958-C34</f>
        <v>268666</v>
      </c>
      <c r="E34" s="111">
        <f>888093-D34-C34</f>
        <v>284135</v>
      </c>
      <c r="F34" s="84">
        <f>1177868-E34-D34-C34</f>
        <v>289775</v>
      </c>
      <c r="G34" s="86">
        <f t="shared" si="1"/>
        <v>1177868</v>
      </c>
    </row>
    <row r="35" spans="1:7" s="47" customFormat="1" ht="15">
      <c r="A35" s="82" t="s">
        <v>16</v>
      </c>
      <c r="B35" s="85" t="s">
        <v>38</v>
      </c>
      <c r="C35" s="84">
        <v>136477</v>
      </c>
      <c r="D35" s="84">
        <f>249360-C35</f>
        <v>112883</v>
      </c>
      <c r="E35" s="84">
        <f>333174-D35-C35</f>
        <v>83814</v>
      </c>
      <c r="F35" s="84">
        <f>428852-E35-D35-C35</f>
        <v>95678</v>
      </c>
      <c r="G35" s="86">
        <f t="shared" si="1"/>
        <v>428852</v>
      </c>
    </row>
    <row r="36" spans="1:7" s="47" customFormat="1" ht="15">
      <c r="A36" s="82" t="s">
        <v>22</v>
      </c>
      <c r="B36" s="85" t="s">
        <v>39</v>
      </c>
      <c r="C36" s="84">
        <v>21</v>
      </c>
      <c r="D36" s="84">
        <f>42.3-C36</f>
        <v>21.299999999999997</v>
      </c>
      <c r="E36" s="84">
        <f>55.95-D36-C36</f>
        <v>13.650000000000006</v>
      </c>
      <c r="F36" s="111">
        <v>4.5</v>
      </c>
      <c r="G36" s="86">
        <f t="shared" si="1"/>
        <v>60.45</v>
      </c>
    </row>
    <row r="37" spans="1:7" s="47" customFormat="1" ht="15">
      <c r="A37" s="87">
        <v>0.05</v>
      </c>
      <c r="B37" s="85" t="s">
        <v>40</v>
      </c>
      <c r="C37" s="84">
        <v>190644</v>
      </c>
      <c r="D37" s="84">
        <f>340494-C37</f>
        <v>149850</v>
      </c>
      <c r="E37" s="111">
        <f>572678-D37-C37</f>
        <v>232184</v>
      </c>
      <c r="F37" s="84">
        <f>795559-E37-D37-C37</f>
        <v>222881</v>
      </c>
      <c r="G37" s="86">
        <f t="shared" si="1"/>
        <v>795559</v>
      </c>
    </row>
    <row r="38" spans="1:7" s="47" customFormat="1" ht="15">
      <c r="A38" s="87">
        <v>0.03</v>
      </c>
      <c r="B38" s="85" t="s">
        <v>41</v>
      </c>
      <c r="C38" s="111">
        <v>649.94000000000005</v>
      </c>
      <c r="D38" s="84">
        <f>2306-C38</f>
        <v>1656.06</v>
      </c>
      <c r="E38" s="111">
        <f>4240-D38-C38</f>
        <v>1934</v>
      </c>
      <c r="F38" s="84">
        <v>3474</v>
      </c>
      <c r="G38" s="86">
        <f t="shared" si="1"/>
        <v>7714</v>
      </c>
    </row>
    <row r="39" spans="1:7" s="47" customFormat="1" ht="15">
      <c r="A39" s="82" t="s">
        <v>16</v>
      </c>
      <c r="B39" s="85" t="s">
        <v>42</v>
      </c>
      <c r="C39" s="84">
        <v>4248</v>
      </c>
      <c r="D39" s="84">
        <f>9249-C39</f>
        <v>5001</v>
      </c>
      <c r="E39" s="84">
        <f>10724-D39-C39</f>
        <v>1475</v>
      </c>
      <c r="F39" s="84">
        <f>14441-E39-D39-C39</f>
        <v>3717</v>
      </c>
      <c r="G39" s="86">
        <f t="shared" si="1"/>
        <v>14441</v>
      </c>
    </row>
    <row r="40" spans="1:7" s="47" customFormat="1" ht="15">
      <c r="A40" s="82" t="s">
        <v>16</v>
      </c>
      <c r="B40" s="85" t="s">
        <v>43</v>
      </c>
      <c r="C40" s="111">
        <v>429049</v>
      </c>
      <c r="D40" s="111">
        <f>907324-C40</f>
        <v>478275</v>
      </c>
      <c r="E40" s="84">
        <f>1324932-D40-C40</f>
        <v>417608</v>
      </c>
      <c r="F40" s="111">
        <f>1823429-E40-D40-C40</f>
        <v>498497</v>
      </c>
      <c r="G40" s="86">
        <f t="shared" si="1"/>
        <v>1823429</v>
      </c>
    </row>
    <row r="41" spans="1:7" s="47" customFormat="1" ht="15">
      <c r="A41" s="147">
        <v>2.5</v>
      </c>
      <c r="B41" s="85" t="s">
        <v>148</v>
      </c>
      <c r="C41" s="111">
        <v>290734</v>
      </c>
      <c r="D41" s="111">
        <f>696750-C41</f>
        <v>406016</v>
      </c>
      <c r="E41" s="84">
        <f>896017-D41-C41</f>
        <v>199267</v>
      </c>
      <c r="F41" s="111">
        <f>1234327-E41-D41-C41</f>
        <v>338310</v>
      </c>
      <c r="G41" s="86">
        <f t="shared" si="1"/>
        <v>1234327</v>
      </c>
    </row>
    <row r="42" spans="1:7" s="47" customFormat="1" ht="15">
      <c r="A42" s="82" t="s">
        <v>27</v>
      </c>
      <c r="B42" s="85" t="s">
        <v>44</v>
      </c>
      <c r="C42" s="84">
        <v>86635</v>
      </c>
      <c r="D42" s="84">
        <f>139980-C42</f>
        <v>53345</v>
      </c>
      <c r="E42" s="111">
        <f>180028-D42-C42</f>
        <v>40048</v>
      </c>
      <c r="F42" s="84">
        <f>254231-E42-D42-C42</f>
        <v>74203</v>
      </c>
      <c r="G42" s="86">
        <f t="shared" si="1"/>
        <v>254231</v>
      </c>
    </row>
    <row r="43" spans="1:7" s="47" customFormat="1" ht="15">
      <c r="A43" s="82" t="s">
        <v>22</v>
      </c>
      <c r="B43" s="85" t="s">
        <v>45</v>
      </c>
      <c r="C43" s="84">
        <v>3552</v>
      </c>
      <c r="D43" s="84">
        <f>5528-C43</f>
        <v>1976</v>
      </c>
      <c r="E43" s="84">
        <f>6817-D43-C43</f>
        <v>1289</v>
      </c>
      <c r="F43" s="84">
        <f>8770-E43-D43-C43</f>
        <v>1953</v>
      </c>
      <c r="G43" s="86">
        <f t="shared" si="1"/>
        <v>8770</v>
      </c>
    </row>
    <row r="44" spans="1:7" s="47" customFormat="1" ht="15">
      <c r="A44" s="82" t="s">
        <v>16</v>
      </c>
      <c r="B44" s="85" t="s">
        <v>46</v>
      </c>
      <c r="C44" s="111">
        <v>54272.61</v>
      </c>
      <c r="D44" s="111">
        <f>98729.47-C44</f>
        <v>44456.86</v>
      </c>
      <c r="E44" s="111">
        <f>153693.07-D44-C44</f>
        <v>54963.600000000006</v>
      </c>
      <c r="F44" s="111">
        <f>205733.64-E44-D44-C44</f>
        <v>52040.570000000007</v>
      </c>
      <c r="G44" s="86">
        <f t="shared" si="1"/>
        <v>205733.64</v>
      </c>
    </row>
    <row r="45" spans="1:7" s="47" customFormat="1" ht="15">
      <c r="A45" s="82" t="s">
        <v>27</v>
      </c>
      <c r="B45" s="85" t="s">
        <v>48</v>
      </c>
      <c r="C45" s="111">
        <v>16489.87</v>
      </c>
      <c r="D45" s="84">
        <f>30717.54-C45</f>
        <v>14227.670000000002</v>
      </c>
      <c r="E45" s="111">
        <f>43889.29-D45-C45</f>
        <v>13171.75</v>
      </c>
      <c r="F45" s="84">
        <f>55166.7-E45-D45-C45</f>
        <v>11277.409999999996</v>
      </c>
      <c r="G45" s="86">
        <f t="shared" si="1"/>
        <v>55166.7</v>
      </c>
    </row>
    <row r="46" spans="1:7" s="47" customFormat="1" ht="15">
      <c r="A46" s="94" t="s">
        <v>16</v>
      </c>
      <c r="B46" s="85" t="s">
        <v>49</v>
      </c>
      <c r="C46" s="84">
        <v>14783.97</v>
      </c>
      <c r="D46" s="84">
        <f>30572-C46</f>
        <v>15788.03</v>
      </c>
      <c r="E46" s="84">
        <f>42853.4-D46-C46</f>
        <v>12281.400000000003</v>
      </c>
      <c r="F46" s="84">
        <f>57256.83-E46-D46-C46</f>
        <v>14403.430000000002</v>
      </c>
      <c r="G46" s="86">
        <f t="shared" si="1"/>
        <v>57256.83</v>
      </c>
    </row>
    <row r="47" spans="1:7" s="47" customFormat="1" ht="15">
      <c r="A47" s="87">
        <v>0.04</v>
      </c>
      <c r="B47" s="85" t="s">
        <v>50</v>
      </c>
      <c r="C47" s="111">
        <v>1468.03</v>
      </c>
      <c r="D47" s="84">
        <f>2549.45-C47</f>
        <v>1081.4199999999998</v>
      </c>
      <c r="E47" s="84">
        <f>3388.4-D47-C47</f>
        <v>838.9500000000005</v>
      </c>
      <c r="F47" s="84">
        <f>4282.33-E47-D47-C47</f>
        <v>893.92999999999915</v>
      </c>
      <c r="G47" s="86">
        <f t="shared" si="1"/>
        <v>4282.33</v>
      </c>
    </row>
    <row r="48" spans="1:7" s="47" customFormat="1" ht="15">
      <c r="A48" s="82" t="s">
        <v>16</v>
      </c>
      <c r="B48" s="85" t="s">
        <v>118</v>
      </c>
      <c r="C48" s="111">
        <v>366.93</v>
      </c>
      <c r="D48" s="111">
        <f>367-C48</f>
        <v>6.9999999999993179E-2</v>
      </c>
      <c r="E48" s="84">
        <f>687.28-D48-C48</f>
        <v>320.28000000000003</v>
      </c>
      <c r="F48" s="111">
        <f>1844.18-E48-D48-C48</f>
        <v>1156.9000000000001</v>
      </c>
      <c r="G48" s="86">
        <f t="shared" si="1"/>
        <v>1844.18</v>
      </c>
    </row>
    <row r="49" spans="1:8" s="47" customFormat="1" ht="15">
      <c r="A49" s="82" t="s">
        <v>22</v>
      </c>
      <c r="B49" s="85" t="s">
        <v>51</v>
      </c>
      <c r="C49" s="84">
        <v>1237</v>
      </c>
      <c r="D49" s="84">
        <f>2309-C49</f>
        <v>1072</v>
      </c>
      <c r="E49" s="84">
        <f>2972-D49-C49</f>
        <v>663</v>
      </c>
      <c r="F49" s="84">
        <f>3826-E49-D49-C49</f>
        <v>854</v>
      </c>
      <c r="G49" s="86">
        <f t="shared" si="1"/>
        <v>3826</v>
      </c>
    </row>
    <row r="50" spans="1:8" s="47" customFormat="1" ht="15">
      <c r="A50" s="82" t="s">
        <v>16</v>
      </c>
      <c r="B50" s="85" t="s">
        <v>52</v>
      </c>
      <c r="C50" s="111">
        <v>41953</v>
      </c>
      <c r="D50" s="84">
        <f>80776-C50</f>
        <v>38823</v>
      </c>
      <c r="E50" s="84">
        <f>112332-D50-C50</f>
        <v>31556</v>
      </c>
      <c r="F50" s="84">
        <f>163439-E50-D50-C50</f>
        <v>51107</v>
      </c>
      <c r="G50" s="86">
        <f t="shared" si="1"/>
        <v>163439</v>
      </c>
    </row>
    <row r="51" spans="1:8" s="47" customFormat="1" ht="15">
      <c r="A51" s="82" t="s">
        <v>22</v>
      </c>
      <c r="B51" s="85" t="s">
        <v>53</v>
      </c>
      <c r="C51" s="111">
        <v>8945</v>
      </c>
      <c r="D51" s="84">
        <f>9681-C51</f>
        <v>736</v>
      </c>
      <c r="E51" s="84">
        <v>2874</v>
      </c>
      <c r="F51" s="84">
        <v>3657</v>
      </c>
      <c r="G51" s="86">
        <f t="shared" si="1"/>
        <v>16212</v>
      </c>
    </row>
    <row r="52" spans="1:8" s="47" customFormat="1" ht="15">
      <c r="A52" s="82" t="s">
        <v>16</v>
      </c>
      <c r="B52" s="85" t="s">
        <v>54</v>
      </c>
      <c r="C52" s="84">
        <v>27996.73</v>
      </c>
      <c r="D52" s="84">
        <f>49667.91-C52</f>
        <v>21671.180000000004</v>
      </c>
      <c r="E52" s="84">
        <f>77959-D52-C52</f>
        <v>28291.089999999993</v>
      </c>
      <c r="F52" s="84">
        <f>104843.48-E52-D52-C52</f>
        <v>26884.479999999992</v>
      </c>
      <c r="G52" s="86">
        <f t="shared" si="1"/>
        <v>104843.48</v>
      </c>
    </row>
    <row r="53" spans="1:8" s="47" customFormat="1" ht="15">
      <c r="A53" s="82" t="s">
        <v>16</v>
      </c>
      <c r="B53" s="85" t="s">
        <v>55</v>
      </c>
      <c r="C53" s="111">
        <v>141066</v>
      </c>
      <c r="D53" s="111">
        <f>224454-C53</f>
        <v>83388</v>
      </c>
      <c r="E53" s="84">
        <f>286720-D53-C53</f>
        <v>62266</v>
      </c>
      <c r="F53" s="84">
        <f>313814-E53-D53-C53</f>
        <v>27094</v>
      </c>
      <c r="G53" s="86">
        <f t="shared" si="1"/>
        <v>313814</v>
      </c>
    </row>
    <row r="54" spans="1:8" s="47" customFormat="1" ht="15">
      <c r="A54" s="82" t="s">
        <v>16</v>
      </c>
      <c r="B54" s="85" t="s">
        <v>56</v>
      </c>
      <c r="C54" s="84">
        <v>206276</v>
      </c>
      <c r="D54" s="111">
        <f>281900-C54</f>
        <v>75624</v>
      </c>
      <c r="E54" s="84">
        <f>441140-D54-C54</f>
        <v>159240</v>
      </c>
      <c r="F54" s="84">
        <f>526876-E54-D54-C54</f>
        <v>85736</v>
      </c>
      <c r="G54" s="86">
        <f t="shared" si="1"/>
        <v>526876</v>
      </c>
      <c r="H54" s="51"/>
    </row>
    <row r="55" spans="1:8" s="47" customFormat="1" ht="15">
      <c r="A55" s="87">
        <v>0.05</v>
      </c>
      <c r="B55" s="85" t="s">
        <v>57</v>
      </c>
      <c r="C55" s="111">
        <v>103681</v>
      </c>
      <c r="D55" s="84">
        <f>200874-C55</f>
        <v>97193</v>
      </c>
      <c r="E55" s="84">
        <f>274280-D55-C55</f>
        <v>73406</v>
      </c>
      <c r="F55" s="111">
        <f>368986-E55-D55-C55</f>
        <v>94706</v>
      </c>
      <c r="G55" s="86">
        <f t="shared" si="1"/>
        <v>368986</v>
      </c>
    </row>
    <row r="56" spans="1:8" s="47" customFormat="1" ht="15">
      <c r="A56" s="82" t="s">
        <v>16</v>
      </c>
      <c r="B56" s="85" t="s">
        <v>58</v>
      </c>
      <c r="C56" s="84">
        <v>240534</v>
      </c>
      <c r="D56" s="84">
        <f>462770-C56</f>
        <v>222236</v>
      </c>
      <c r="E56" s="84">
        <f>634640-D56-C56</f>
        <v>171870</v>
      </c>
      <c r="F56" s="84">
        <f>855150-E56-D56-C56</f>
        <v>220510</v>
      </c>
      <c r="G56" s="86">
        <f t="shared" si="1"/>
        <v>855150</v>
      </c>
    </row>
    <row r="57" spans="1:8" s="47" customFormat="1" ht="15">
      <c r="A57" s="96" t="s">
        <v>16</v>
      </c>
      <c r="B57" s="85" t="s">
        <v>59</v>
      </c>
      <c r="C57" s="84">
        <v>500161</v>
      </c>
      <c r="D57" s="84">
        <f>734383-C57</f>
        <v>234222</v>
      </c>
      <c r="E57" s="84">
        <f>1007889-D57-C57</f>
        <v>273506</v>
      </c>
      <c r="F57" s="84">
        <f>1212085-E57-D57-C57</f>
        <v>204196</v>
      </c>
      <c r="G57" s="86">
        <f t="shared" si="1"/>
        <v>1212085</v>
      </c>
    </row>
    <row r="58" spans="1:8" s="47" customFormat="1" ht="15">
      <c r="A58" s="82" t="s">
        <v>16</v>
      </c>
      <c r="B58" s="85" t="s">
        <v>60</v>
      </c>
      <c r="C58" s="111">
        <v>63786</v>
      </c>
      <c r="D58" s="84">
        <f>103410-C58</f>
        <v>39624</v>
      </c>
      <c r="E58" s="84">
        <f>133452-D58-C58</f>
        <v>30042</v>
      </c>
      <c r="F58" s="84">
        <f>169515-E58-D58-C58</f>
        <v>36063</v>
      </c>
      <c r="G58" s="86">
        <f t="shared" si="1"/>
        <v>169515</v>
      </c>
    </row>
    <row r="59" spans="1:8" s="47" customFormat="1" ht="15">
      <c r="A59" s="87">
        <v>0.05</v>
      </c>
      <c r="B59" s="97" t="s">
        <v>79</v>
      </c>
      <c r="C59" s="111">
        <v>1639884</v>
      </c>
      <c r="D59" s="111">
        <f>2810116-C59</f>
        <v>1170232</v>
      </c>
      <c r="E59" s="111">
        <f>3486446-D59-C59</f>
        <v>676330</v>
      </c>
      <c r="F59" s="84">
        <f>4403020-E59-D59-C59</f>
        <v>916574</v>
      </c>
      <c r="G59" s="86">
        <f t="shared" si="1"/>
        <v>4403020</v>
      </c>
    </row>
    <row r="60" spans="1:8" s="47" customFormat="1" ht="15">
      <c r="A60" s="87">
        <v>0.02</v>
      </c>
      <c r="B60" s="97" t="s">
        <v>146</v>
      </c>
      <c r="C60" s="111">
        <v>1223896</v>
      </c>
      <c r="D60" s="111">
        <f>2070825-C60</f>
        <v>846929</v>
      </c>
      <c r="E60" s="111">
        <f>2530459-D60-C60</f>
        <v>459634</v>
      </c>
      <c r="F60" s="84">
        <f>3189765-E60-D60-C60</f>
        <v>659306</v>
      </c>
      <c r="G60" s="86">
        <f>SUM(C60:F60)</f>
        <v>3189765</v>
      </c>
    </row>
    <row r="61" spans="1:8" s="47" customFormat="1" ht="15">
      <c r="A61" s="87">
        <v>0.05</v>
      </c>
      <c r="B61" s="85" t="s">
        <v>61</v>
      </c>
      <c r="C61" s="111">
        <v>142212.76</v>
      </c>
      <c r="D61" s="84">
        <f>251582-C61</f>
        <v>109369.23999999999</v>
      </c>
      <c r="E61" s="111">
        <f>343274-D61-C61</f>
        <v>91692</v>
      </c>
      <c r="F61" s="84">
        <f>460554.18-E61-D61-C61</f>
        <v>117280.18</v>
      </c>
      <c r="G61" s="86">
        <f t="shared" ref="G61:G70" si="2">(C61+D61+E61+F61)</f>
        <v>460554.18</v>
      </c>
    </row>
    <row r="62" spans="1:8" s="47" customFormat="1" ht="15">
      <c r="A62" s="82" t="s">
        <v>16</v>
      </c>
      <c r="B62" s="85" t="s">
        <v>62</v>
      </c>
      <c r="C62" s="84">
        <v>66729</v>
      </c>
      <c r="D62" s="84">
        <f>122240-C62</f>
        <v>55511</v>
      </c>
      <c r="E62" s="84">
        <f>170013-D62-C62</f>
        <v>47773</v>
      </c>
      <c r="F62" s="84">
        <f>245570-E62-D62-C62</f>
        <v>75557</v>
      </c>
      <c r="G62" s="86">
        <f t="shared" si="2"/>
        <v>245570</v>
      </c>
    </row>
    <row r="63" spans="1:8" s="47" customFormat="1" ht="15">
      <c r="A63" s="87">
        <v>0.05</v>
      </c>
      <c r="B63" s="85" t="s">
        <v>63</v>
      </c>
      <c r="C63" s="111">
        <v>89543</v>
      </c>
      <c r="D63" s="111">
        <f>183732-C63</f>
        <v>94189</v>
      </c>
      <c r="E63" s="111">
        <f>257073-D63-C63</f>
        <v>73341</v>
      </c>
      <c r="F63" s="84">
        <f>349532-E63-D63-C63</f>
        <v>92459</v>
      </c>
      <c r="G63" s="86">
        <f t="shared" si="2"/>
        <v>349532</v>
      </c>
    </row>
    <row r="64" spans="1:8" s="47" customFormat="1" ht="15">
      <c r="A64" s="82" t="s">
        <v>22</v>
      </c>
      <c r="B64" s="85" t="s">
        <v>64</v>
      </c>
      <c r="C64" s="111">
        <v>1748</v>
      </c>
      <c r="D64" s="111">
        <f>2196-C64</f>
        <v>448</v>
      </c>
      <c r="E64" s="111">
        <v>1519</v>
      </c>
      <c r="F64" s="111">
        <v>2270</v>
      </c>
      <c r="G64" s="86">
        <f t="shared" si="2"/>
        <v>5985</v>
      </c>
    </row>
    <row r="65" spans="1:7" s="47" customFormat="1" ht="15">
      <c r="A65" s="87">
        <v>0.05</v>
      </c>
      <c r="B65" s="85" t="s">
        <v>65</v>
      </c>
      <c r="C65" s="111">
        <v>343976</v>
      </c>
      <c r="D65" s="111">
        <f>577236-C65</f>
        <v>233260</v>
      </c>
      <c r="E65" s="111">
        <v>163427</v>
      </c>
      <c r="F65" s="111">
        <v>207132</v>
      </c>
      <c r="G65" s="140">
        <f t="shared" si="2"/>
        <v>947795</v>
      </c>
    </row>
    <row r="66" spans="1:7" s="47" customFormat="1" ht="15">
      <c r="A66" s="94" t="s">
        <v>16</v>
      </c>
      <c r="B66" s="85" t="s">
        <v>66</v>
      </c>
      <c r="C66" s="111">
        <v>13782</v>
      </c>
      <c r="D66" s="84">
        <f>23198-C66</f>
        <v>9416</v>
      </c>
      <c r="E66" s="84">
        <f>165799-D66-C66</f>
        <v>142601</v>
      </c>
      <c r="F66" s="84">
        <f>223792-E66-D66-C66</f>
        <v>57993</v>
      </c>
      <c r="G66" s="86">
        <f t="shared" si="2"/>
        <v>223792</v>
      </c>
    </row>
    <row r="67" spans="1:7" s="47" customFormat="1" ht="15">
      <c r="A67" s="82" t="s">
        <v>16</v>
      </c>
      <c r="B67" s="85" t="s">
        <v>67</v>
      </c>
      <c r="C67" s="84">
        <v>46869.99</v>
      </c>
      <c r="D67" s="84">
        <f>96167-C67</f>
        <v>49297.01</v>
      </c>
      <c r="E67" s="84">
        <f>139300-D67-C67</f>
        <v>43132.999999999993</v>
      </c>
      <c r="F67" s="84">
        <f>190176-E67-D67-C67</f>
        <v>50875.999999999993</v>
      </c>
      <c r="G67" s="86">
        <f t="shared" si="2"/>
        <v>190176</v>
      </c>
    </row>
    <row r="68" spans="1:7" s="47" customFormat="1" ht="15">
      <c r="A68" s="82" t="s">
        <v>16</v>
      </c>
      <c r="B68" s="85" t="s">
        <v>68</v>
      </c>
      <c r="C68" s="84">
        <v>145388</v>
      </c>
      <c r="D68" s="111">
        <f>247274-C68</f>
        <v>101886</v>
      </c>
      <c r="E68" s="84">
        <f>334777-D68-C68</f>
        <v>87503</v>
      </c>
      <c r="F68" s="111">
        <f>459958-E68-D68-C68</f>
        <v>125181</v>
      </c>
      <c r="G68" s="86">
        <f t="shared" si="2"/>
        <v>459958</v>
      </c>
    </row>
    <row r="69" spans="1:7" s="47" customFormat="1" ht="15">
      <c r="A69" s="94" t="s">
        <v>16</v>
      </c>
      <c r="B69" s="85" t="s">
        <v>82</v>
      </c>
      <c r="C69" s="111">
        <v>12557</v>
      </c>
      <c r="D69" s="111">
        <f>24652-C69</f>
        <v>12095</v>
      </c>
      <c r="E69" s="84">
        <f>35234-D69-C69</f>
        <v>10582</v>
      </c>
      <c r="F69" s="84">
        <f>47782-E69-D69-C69</f>
        <v>12548</v>
      </c>
      <c r="G69" s="86">
        <f t="shared" si="2"/>
        <v>47782</v>
      </c>
    </row>
    <row r="70" spans="1:7" s="47" customFormat="1" ht="15">
      <c r="A70" s="82" t="s">
        <v>22</v>
      </c>
      <c r="B70" s="85" t="s">
        <v>69</v>
      </c>
      <c r="C70" s="88">
        <v>718.85</v>
      </c>
      <c r="D70" s="85">
        <f>1479.16-C70</f>
        <v>760.31000000000006</v>
      </c>
      <c r="E70" s="89">
        <f>1932.59-D70</f>
        <v>1172.2799999999997</v>
      </c>
      <c r="F70" s="85">
        <f>2727.49-E70</f>
        <v>1555.21</v>
      </c>
      <c r="G70" s="86">
        <f t="shared" si="2"/>
        <v>4206.6499999999996</v>
      </c>
    </row>
    <row r="71" spans="1:7" s="47" customFormat="1">
      <c r="A71" s="45"/>
      <c r="B71" s="46"/>
      <c r="C71" s="142"/>
      <c r="D71" s="46"/>
      <c r="E71" s="46"/>
      <c r="F71" s="46"/>
      <c r="G71" s="50"/>
    </row>
    <row r="72" spans="1:7" s="47" customFormat="1" ht="15.75" thickBot="1">
      <c r="A72" s="48"/>
      <c r="B72" s="98" t="s">
        <v>70</v>
      </c>
      <c r="C72" s="98">
        <f>SUM(C8:C70)</f>
        <v>11445861.01</v>
      </c>
      <c r="D72" s="98">
        <f>SUM(D8:D70)</f>
        <v>9500821.0700000003</v>
      </c>
      <c r="E72" s="99">
        <f>SUM(E8:E70)</f>
        <v>7192945.7700000005</v>
      </c>
      <c r="F72" s="98">
        <f>SUM(F8:F70)</f>
        <v>8471053.8800000008</v>
      </c>
      <c r="G72" s="100">
        <f>SUM(G8:G70)</f>
        <v>36610681.729999989</v>
      </c>
    </row>
    <row r="73" spans="1:7" s="47" customFormat="1" ht="15" thickTop="1">
      <c r="A73" s="52"/>
      <c r="G73" s="49">
        <f>C72+D72+E72+F72</f>
        <v>36610681.729999997</v>
      </c>
    </row>
    <row r="74" spans="1:7" s="47" customFormat="1" ht="15">
      <c r="A74" s="101" t="s">
        <v>123</v>
      </c>
      <c r="G74" s="49"/>
    </row>
    <row r="75" spans="1:7" s="47" customFormat="1" ht="15">
      <c r="A75" s="101" t="s">
        <v>124</v>
      </c>
      <c r="B75" s="72"/>
      <c r="G75" s="49"/>
    </row>
    <row r="76" spans="1:7" s="47" customFormat="1" ht="15">
      <c r="A76" s="101" t="s">
        <v>0</v>
      </c>
      <c r="B76" s="72"/>
      <c r="G76" s="49"/>
    </row>
    <row r="77" spans="1:7" s="47" customFormat="1" ht="15">
      <c r="A77" s="143" t="s">
        <v>121</v>
      </c>
      <c r="B77" s="144"/>
      <c r="G77" s="49"/>
    </row>
    <row r="78" spans="1:7" s="47" customFormat="1" ht="15">
      <c r="A78" s="101"/>
      <c r="B78" s="72"/>
      <c r="G78" s="49"/>
    </row>
    <row r="79" spans="1:7" s="47" customFormat="1" ht="15">
      <c r="A79" s="53"/>
      <c r="B79" s="53"/>
      <c r="C79" s="53"/>
      <c r="D79" s="53"/>
      <c r="E79" s="53"/>
      <c r="F79" s="53"/>
      <c r="G79" s="54"/>
    </row>
    <row r="90" spans="1:7" ht="15">
      <c r="A90" s="72"/>
      <c r="B90" s="72"/>
      <c r="C90" s="72"/>
      <c r="D90" s="72"/>
      <c r="E90" s="72"/>
      <c r="F90" s="72"/>
      <c r="G90" s="72"/>
    </row>
    <row r="91" spans="1:7" ht="15">
      <c r="A91" s="72"/>
      <c r="B91" s="72"/>
      <c r="C91" s="72"/>
      <c r="D91" s="72"/>
      <c r="E91" s="72"/>
      <c r="F91" s="72"/>
      <c r="G91" s="72"/>
    </row>
    <row r="92" spans="1:7" ht="15">
      <c r="A92" s="72"/>
      <c r="B92" s="72"/>
      <c r="C92" s="72"/>
      <c r="D92" s="72"/>
      <c r="E92" s="72"/>
      <c r="F92" s="72"/>
      <c r="G92" s="72"/>
    </row>
    <row r="93" spans="1:7" ht="15">
      <c r="A93" s="72"/>
      <c r="B93" s="72"/>
      <c r="C93" s="72"/>
      <c r="D93" s="72"/>
      <c r="E93" s="72"/>
      <c r="F93" s="72"/>
      <c r="G93" s="72"/>
    </row>
    <row r="94" spans="1:7" ht="15">
      <c r="A94" s="72"/>
      <c r="B94" s="72"/>
      <c r="C94" s="72"/>
      <c r="D94" s="72"/>
      <c r="E94" s="72"/>
      <c r="F94" s="72"/>
      <c r="G94" s="72"/>
    </row>
    <row r="95" spans="1:7" ht="15">
      <c r="A95" s="72"/>
      <c r="B95" s="72"/>
      <c r="C95" s="72"/>
      <c r="D95" s="72"/>
      <c r="E95" s="72"/>
      <c r="F95" s="72"/>
      <c r="G95" s="72"/>
    </row>
    <row r="96" spans="1:7" ht="15">
      <c r="A96" s="72"/>
      <c r="B96" s="72"/>
      <c r="C96" s="72"/>
      <c r="D96" s="72"/>
      <c r="E96" s="72"/>
      <c r="F96" s="72"/>
      <c r="G96" s="72"/>
    </row>
    <row r="97" spans="1:7" ht="15">
      <c r="A97" s="72"/>
      <c r="B97" s="72"/>
      <c r="C97" s="72"/>
      <c r="D97" s="72"/>
      <c r="E97" s="72"/>
      <c r="F97" s="72"/>
      <c r="G97" s="72"/>
    </row>
    <row r="98" spans="1:7" ht="15">
      <c r="A98" s="72"/>
      <c r="B98" s="72"/>
      <c r="C98" s="72"/>
      <c r="D98" s="72"/>
      <c r="E98" s="72"/>
      <c r="F98" s="72"/>
      <c r="G98" s="72"/>
    </row>
    <row r="99" spans="1:7" ht="15">
      <c r="A99" s="72"/>
      <c r="B99" s="72"/>
      <c r="C99" s="72"/>
      <c r="D99" s="72"/>
      <c r="E99" s="72"/>
      <c r="F99" s="72"/>
      <c r="G99" s="72"/>
    </row>
    <row r="100" spans="1:7" ht="15">
      <c r="A100" s="72"/>
      <c r="B100" s="72"/>
      <c r="C100" s="72"/>
      <c r="D100" s="72"/>
      <c r="E100" s="72"/>
      <c r="F100" s="72"/>
      <c r="G100" s="72"/>
    </row>
    <row r="101" spans="1:7" ht="15">
      <c r="A101" s="72"/>
      <c r="B101" s="72"/>
      <c r="C101" s="72"/>
      <c r="D101" s="72"/>
      <c r="E101" s="72"/>
      <c r="F101" s="72"/>
      <c r="G101" s="72"/>
    </row>
    <row r="102" spans="1:7" ht="15">
      <c r="A102" s="72"/>
      <c r="B102" s="72"/>
      <c r="C102" s="72"/>
      <c r="D102" s="72"/>
      <c r="E102" s="72"/>
      <c r="F102" s="72"/>
      <c r="G102" s="72"/>
    </row>
    <row r="103" spans="1:7" ht="15">
      <c r="A103" s="72"/>
      <c r="B103" s="72"/>
      <c r="C103" s="72"/>
      <c r="D103" s="72"/>
      <c r="E103" s="72"/>
      <c r="F103" s="72"/>
      <c r="G103" s="72"/>
    </row>
    <row r="104" spans="1:7" ht="15">
      <c r="A104" s="72"/>
      <c r="B104" s="72"/>
      <c r="C104" s="72"/>
      <c r="D104" s="72"/>
      <c r="E104" s="72"/>
      <c r="F104" s="72"/>
      <c r="G104" s="72"/>
    </row>
    <row r="105" spans="1:7" ht="15">
      <c r="A105" s="72"/>
      <c r="B105" s="72"/>
      <c r="C105" s="72"/>
      <c r="D105" s="72"/>
      <c r="E105" s="72"/>
      <c r="F105" s="72"/>
      <c r="G105" s="72"/>
    </row>
    <row r="106" spans="1:7" ht="15">
      <c r="A106" s="72"/>
      <c r="B106" s="72"/>
      <c r="C106" s="72"/>
      <c r="D106" s="72"/>
      <c r="E106" s="72"/>
      <c r="F106" s="72"/>
      <c r="G106" s="72"/>
    </row>
    <row r="107" spans="1:7" ht="15">
      <c r="A107" s="72"/>
      <c r="B107" s="72"/>
      <c r="C107" s="72"/>
      <c r="D107" s="72"/>
      <c r="E107" s="72"/>
      <c r="F107" s="72"/>
      <c r="G107" s="72"/>
    </row>
    <row r="108" spans="1:7" ht="15">
      <c r="A108" s="72"/>
      <c r="B108" s="72"/>
      <c r="C108" s="72"/>
      <c r="D108" s="72"/>
      <c r="E108" s="72"/>
      <c r="F108" s="72"/>
      <c r="G108" s="72"/>
    </row>
    <row r="109" spans="1:7" ht="15">
      <c r="A109" s="72"/>
      <c r="B109" s="72"/>
      <c r="C109" s="72"/>
      <c r="D109" s="72"/>
      <c r="E109" s="72"/>
      <c r="F109" s="72"/>
      <c r="G109" s="72"/>
    </row>
    <row r="110" spans="1:7" ht="15">
      <c r="A110" s="72"/>
      <c r="B110" s="72"/>
      <c r="C110" s="72"/>
      <c r="D110" s="72"/>
      <c r="E110" s="72"/>
      <c r="F110" s="72"/>
      <c r="G110" s="72"/>
    </row>
    <row r="111" spans="1:7" ht="15">
      <c r="A111" s="72"/>
      <c r="B111" s="72"/>
      <c r="C111" s="72"/>
      <c r="D111" s="72"/>
      <c r="E111" s="72"/>
      <c r="F111" s="72"/>
      <c r="G111" s="72"/>
    </row>
    <row r="112" spans="1:7" ht="15">
      <c r="A112" s="72"/>
      <c r="B112" s="72"/>
      <c r="C112" s="72"/>
      <c r="D112" s="72"/>
      <c r="E112" s="72"/>
      <c r="F112" s="72"/>
      <c r="G112" s="72"/>
    </row>
    <row r="113" spans="1:7" ht="15">
      <c r="A113" s="72"/>
      <c r="B113" s="72"/>
      <c r="C113" s="72"/>
      <c r="D113" s="72"/>
      <c r="E113" s="72"/>
      <c r="F113" s="72"/>
      <c r="G113" s="72"/>
    </row>
    <row r="114" spans="1:7" ht="15">
      <c r="A114" s="72"/>
      <c r="B114" s="72"/>
      <c r="C114" s="72"/>
      <c r="D114" s="72"/>
      <c r="E114" s="72"/>
      <c r="F114" s="72"/>
      <c r="G114" s="72"/>
    </row>
    <row r="115" spans="1:7" ht="15">
      <c r="A115" s="72"/>
      <c r="B115" s="72"/>
      <c r="C115" s="72"/>
      <c r="D115" s="72"/>
      <c r="E115" s="72"/>
      <c r="F115" s="72"/>
      <c r="G115" s="72"/>
    </row>
    <row r="116" spans="1:7" ht="15">
      <c r="A116" s="72"/>
      <c r="B116" s="72"/>
      <c r="C116" s="72"/>
      <c r="D116" s="72"/>
      <c r="E116" s="72"/>
      <c r="F116" s="72"/>
      <c r="G116" s="72"/>
    </row>
    <row r="117" spans="1:7" ht="15">
      <c r="A117" s="72"/>
      <c r="B117" s="72"/>
      <c r="C117" s="72"/>
      <c r="D117" s="72"/>
      <c r="E117" s="72"/>
      <c r="F117" s="72"/>
      <c r="G117" s="72"/>
    </row>
    <row r="118" spans="1:7" ht="15">
      <c r="A118" s="72"/>
      <c r="B118" s="72"/>
      <c r="C118" s="72"/>
      <c r="D118" s="72"/>
      <c r="E118" s="72"/>
      <c r="F118" s="72"/>
      <c r="G118" s="72"/>
    </row>
    <row r="119" spans="1:7" ht="15">
      <c r="B119" s="102"/>
      <c r="C119" s="102"/>
      <c r="D119" s="102"/>
      <c r="E119" s="102"/>
      <c r="F119" s="102"/>
      <c r="G119" s="102"/>
    </row>
    <row r="121" spans="1:7" ht="15">
      <c r="A121" s="102"/>
    </row>
    <row r="122" spans="1:7" ht="15">
      <c r="A122" s="102"/>
      <c r="B122" s="102"/>
    </row>
    <row r="123" spans="1:7" ht="15">
      <c r="A123" s="102"/>
      <c r="B123" s="102"/>
    </row>
    <row r="124" spans="1:7" ht="15">
      <c r="A124" s="102"/>
      <c r="B124" s="102"/>
    </row>
    <row r="178" spans="1:7" ht="15">
      <c r="A178" s="72"/>
      <c r="B178" s="72"/>
      <c r="C178" s="72"/>
      <c r="D178" s="72"/>
      <c r="E178" s="72"/>
      <c r="F178" s="72"/>
      <c r="G178" s="72"/>
    </row>
    <row r="179" spans="1:7" ht="15">
      <c r="A179" s="72"/>
      <c r="B179" s="72"/>
      <c r="C179" s="72"/>
      <c r="D179" s="72"/>
      <c r="E179" s="72"/>
      <c r="F179" s="72"/>
      <c r="G179" s="72"/>
    </row>
  </sheetData>
  <pageMargins left="0.7" right="0.7" top="0.75" bottom="0.75" header="0.3" footer="0.3"/>
  <pageSetup scale="55" orientation="portrait" r:id="rId1"/>
  <rowBreaks count="1" manualBreakCount="1">
    <brk id="80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AK39"/>
  <sheetViews>
    <sheetView workbookViewId="0">
      <selection activeCell="K34" sqref="K34"/>
    </sheetView>
  </sheetViews>
  <sheetFormatPr defaultColWidth="15.6640625" defaultRowHeight="15"/>
  <cols>
    <col min="1" max="1" width="4.6640625" customWidth="1"/>
    <col min="2" max="2" width="3.77734375" customWidth="1"/>
    <col min="3" max="3" width="17" customWidth="1"/>
    <col min="4" max="4" width="2.6640625" hidden="1" customWidth="1"/>
    <col min="5" max="5" width="11" customWidth="1"/>
    <col min="6" max="6" width="1.6640625" customWidth="1"/>
    <col min="7" max="7" width="13.109375" customWidth="1"/>
    <col min="8" max="8" width="10.44140625" customWidth="1"/>
    <col min="9" max="9" width="13.77734375" customWidth="1"/>
    <col min="10" max="10" width="11.21875" customWidth="1"/>
    <col min="11" max="11" width="19.21875" customWidth="1"/>
    <col min="12" max="12" width="1.6640625" customWidth="1"/>
    <col min="13" max="13" width="8.6640625" customWidth="1"/>
  </cols>
  <sheetData>
    <row r="1" spans="1:37" s="4" customFormat="1">
      <c r="A1" s="1" t="s">
        <v>83</v>
      </c>
      <c r="B1" s="2"/>
      <c r="C1" s="2"/>
      <c r="D1" s="2"/>
      <c r="E1" s="4" t="s">
        <v>129</v>
      </c>
      <c r="M1" s="2" t="s">
        <v>84</v>
      </c>
      <c r="N1" s="2"/>
      <c r="O1" s="2"/>
      <c r="P1" s="2"/>
      <c r="Q1" s="2"/>
      <c r="R1" s="2"/>
      <c r="S1" s="3">
        <f ca="1">NOW()</f>
        <v>44902.644180787036</v>
      </c>
    </row>
    <row r="2" spans="1:37" s="4" customFormat="1">
      <c r="A2" s="5" t="s">
        <v>85</v>
      </c>
      <c r="E2" s="4" t="s">
        <v>127</v>
      </c>
      <c r="M2" s="4" t="s">
        <v>112</v>
      </c>
      <c r="S2" s="6"/>
    </row>
    <row r="3" spans="1:37" s="4" customFormat="1">
      <c r="A3" s="5" t="s">
        <v>86</v>
      </c>
      <c r="E3" s="4" t="s">
        <v>128</v>
      </c>
      <c r="M3" s="4" t="s">
        <v>120</v>
      </c>
      <c r="S3" s="6"/>
    </row>
    <row r="4" spans="1:37" s="4" customFormat="1">
      <c r="A4" s="7"/>
      <c r="B4" s="8"/>
      <c r="C4" s="8"/>
      <c r="D4" s="8"/>
      <c r="E4" s="8"/>
      <c r="F4" s="8"/>
      <c r="G4" s="56"/>
      <c r="H4" s="8"/>
      <c r="I4" s="8"/>
      <c r="J4" s="8"/>
      <c r="K4" s="9"/>
    </row>
    <row r="5" spans="1:37" s="4" customFormat="1">
      <c r="A5" s="10"/>
      <c r="B5" s="11"/>
      <c r="C5" s="11"/>
      <c r="D5" s="11"/>
      <c r="G5" s="57" t="s">
        <v>87</v>
      </c>
      <c r="H5" s="12" t="s">
        <v>88</v>
      </c>
      <c r="I5" s="12" t="s">
        <v>89</v>
      </c>
      <c r="J5" s="12" t="s">
        <v>90</v>
      </c>
      <c r="K5" s="13"/>
    </row>
    <row r="6" spans="1:37" s="4" customFormat="1">
      <c r="A6" s="10"/>
      <c r="B6" s="11"/>
      <c r="C6" s="11"/>
      <c r="D6" s="11"/>
      <c r="G6" s="57" t="s">
        <v>73</v>
      </c>
      <c r="H6" s="12" t="s">
        <v>73</v>
      </c>
      <c r="I6" s="12" t="s">
        <v>73</v>
      </c>
      <c r="J6" s="12" t="s">
        <v>73</v>
      </c>
      <c r="K6" s="14" t="s">
        <v>9</v>
      </c>
    </row>
    <row r="7" spans="1:37" s="4" customFormat="1">
      <c r="A7" s="10"/>
      <c r="B7" s="11"/>
      <c r="C7" s="11" t="s">
        <v>91</v>
      </c>
      <c r="D7" s="11"/>
      <c r="G7" s="57" t="s">
        <v>92</v>
      </c>
      <c r="H7" s="12" t="s">
        <v>93</v>
      </c>
      <c r="I7" s="12" t="s">
        <v>94</v>
      </c>
      <c r="J7" s="12" t="s">
        <v>95</v>
      </c>
      <c r="K7" s="14" t="s">
        <v>15</v>
      </c>
      <c r="N7" s="15"/>
    </row>
    <row r="8" spans="1:37" s="4" customFormat="1" ht="15" customHeight="1">
      <c r="A8" s="1"/>
      <c r="B8" s="2"/>
      <c r="C8" s="2"/>
      <c r="D8" s="2"/>
      <c r="E8" s="2"/>
      <c r="F8" s="2"/>
      <c r="G8" s="58"/>
      <c r="H8" s="63"/>
      <c r="I8" s="63"/>
      <c r="J8" s="63"/>
      <c r="K8" s="16"/>
    </row>
    <row r="9" spans="1:37" s="4" customFormat="1" ht="19.899999999999999" customHeight="1">
      <c r="A9" s="17" t="s">
        <v>16</v>
      </c>
      <c r="B9" s="18"/>
      <c r="C9" s="18" t="s">
        <v>96</v>
      </c>
      <c r="D9" s="19"/>
      <c r="E9" s="18"/>
      <c r="F9" s="18"/>
      <c r="G9" s="65">
        <v>14052</v>
      </c>
      <c r="H9" s="65">
        <f>23594-G9</f>
        <v>9542</v>
      </c>
      <c r="I9" s="65">
        <f>28024-H9</f>
        <v>18482</v>
      </c>
      <c r="J9" s="65">
        <f>32253-I9</f>
        <v>13771</v>
      </c>
      <c r="K9" s="19">
        <f>J9+I9+H9+G9</f>
        <v>55847</v>
      </c>
    </row>
    <row r="10" spans="1:37" s="4" customFormat="1" ht="19.899999999999999" customHeight="1">
      <c r="A10" s="20"/>
      <c r="B10" s="21"/>
      <c r="C10" s="21" t="s">
        <v>0</v>
      </c>
      <c r="D10" s="22"/>
      <c r="E10" s="21"/>
      <c r="F10" s="21"/>
      <c r="G10" s="112"/>
      <c r="H10" s="65" t="s">
        <v>0</v>
      </c>
      <c r="I10" s="65" t="s">
        <v>0</v>
      </c>
      <c r="J10" s="65" t="s">
        <v>0</v>
      </c>
      <c r="K10" s="19" t="s">
        <v>0</v>
      </c>
    </row>
    <row r="11" spans="1:37" s="4" customFormat="1" ht="19.899999999999999" customHeight="1">
      <c r="A11" s="23">
        <v>0.05</v>
      </c>
      <c r="B11" s="18"/>
      <c r="C11" s="18" t="s">
        <v>97</v>
      </c>
      <c r="D11" s="19"/>
      <c r="E11" s="18"/>
      <c r="F11" s="18"/>
      <c r="G11" s="65">
        <v>21960</v>
      </c>
      <c r="H11" s="65">
        <f>42754-G11</f>
        <v>20794</v>
      </c>
      <c r="I11" s="115">
        <f>51435-H11</f>
        <v>30641</v>
      </c>
      <c r="J11" s="65">
        <f>68401-I11</f>
        <v>37760</v>
      </c>
      <c r="K11" s="19">
        <f t="shared" ref="K11:K32" si="0">J11+I11+H11+G11</f>
        <v>111155</v>
      </c>
    </row>
    <row r="12" spans="1:37" s="4" customFormat="1" ht="19.899999999999999" customHeight="1">
      <c r="A12" s="20"/>
      <c r="B12" s="21"/>
      <c r="C12" s="21" t="s">
        <v>0</v>
      </c>
      <c r="D12" s="22"/>
      <c r="E12" s="21"/>
      <c r="F12" s="21"/>
      <c r="G12" s="65" t="s">
        <v>0</v>
      </c>
      <c r="H12" s="65" t="s">
        <v>0</v>
      </c>
      <c r="I12" s="65" t="s">
        <v>0</v>
      </c>
      <c r="J12" s="65" t="s">
        <v>0</v>
      </c>
      <c r="K12" s="19" t="s">
        <v>0</v>
      </c>
    </row>
    <row r="13" spans="1:37" ht="19.899999999999999" customHeight="1">
      <c r="A13" s="23">
        <v>0.04</v>
      </c>
      <c r="B13" s="18"/>
      <c r="C13" s="18" t="s">
        <v>98</v>
      </c>
      <c r="D13" s="19"/>
      <c r="E13" s="18"/>
      <c r="F13" s="18"/>
      <c r="G13" s="65">
        <v>24181</v>
      </c>
      <c r="H13" s="65">
        <v>14095</v>
      </c>
      <c r="I13" s="65">
        <v>12593</v>
      </c>
      <c r="J13" s="65">
        <v>10461</v>
      </c>
      <c r="K13" s="19">
        <f t="shared" si="0"/>
        <v>61330</v>
      </c>
      <c r="L13" s="4"/>
      <c r="M13" s="4" t="s">
        <v>0</v>
      </c>
    </row>
    <row r="14" spans="1:37" ht="19.899999999999999" customHeight="1">
      <c r="A14" s="20"/>
      <c r="B14" s="21"/>
      <c r="C14" s="21" t="s">
        <v>0</v>
      </c>
      <c r="D14" s="22"/>
      <c r="E14" s="21"/>
      <c r="F14" s="21"/>
      <c r="G14" s="65" t="s">
        <v>0</v>
      </c>
      <c r="H14" s="65" t="s">
        <v>0</v>
      </c>
      <c r="I14" s="65" t="s">
        <v>0</v>
      </c>
      <c r="J14" s="65" t="s">
        <v>0</v>
      </c>
      <c r="K14" s="19" t="s">
        <v>0</v>
      </c>
      <c r="L14" s="4"/>
      <c r="M14" s="4"/>
    </row>
    <row r="15" spans="1:37" s="42" customFormat="1" ht="19.899999999999999" customHeight="1">
      <c r="A15" s="38">
        <v>0.05</v>
      </c>
      <c r="B15" s="39"/>
      <c r="C15" s="43" t="s">
        <v>47</v>
      </c>
      <c r="D15" s="40"/>
      <c r="E15" s="39"/>
      <c r="F15" s="39"/>
      <c r="G15" s="65">
        <v>100357.79</v>
      </c>
      <c r="H15" s="65">
        <f>168270.39-G15</f>
        <v>67912.60000000002</v>
      </c>
      <c r="I15" s="65">
        <f>216321.41-H15</f>
        <v>148408.81</v>
      </c>
      <c r="J15" s="65">
        <f>265518.14-I15</f>
        <v>117109.33000000002</v>
      </c>
      <c r="K15" s="19">
        <f t="shared" si="0"/>
        <v>433788.53</v>
      </c>
      <c r="L15" s="5"/>
      <c r="M15" s="4"/>
      <c r="N15"/>
      <c r="O15" s="108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</row>
    <row r="16" spans="1:37" ht="19.899999999999999" customHeight="1">
      <c r="A16" s="20"/>
      <c r="B16" s="21"/>
      <c r="C16" s="21"/>
      <c r="D16" s="22"/>
      <c r="E16" s="21"/>
      <c r="F16" s="21"/>
      <c r="G16" s="65" t="s">
        <v>0</v>
      </c>
      <c r="H16" s="65" t="s">
        <v>0</v>
      </c>
      <c r="I16" s="65"/>
      <c r="J16" s="65" t="s">
        <v>0</v>
      </c>
      <c r="K16" s="19" t="s">
        <v>0</v>
      </c>
      <c r="L16" s="4"/>
      <c r="M16" s="4"/>
    </row>
    <row r="17" spans="1:15" ht="19.899999999999999" customHeight="1">
      <c r="A17" s="17" t="s">
        <v>22</v>
      </c>
      <c r="B17" s="18"/>
      <c r="C17" s="18" t="s">
        <v>99</v>
      </c>
      <c r="D17" s="24" t="s">
        <v>100</v>
      </c>
      <c r="E17" s="18"/>
      <c r="F17" s="18"/>
      <c r="G17" s="65">
        <v>336.84</v>
      </c>
      <c r="H17" s="65">
        <f>1048.7-G17</f>
        <v>711.86000000000013</v>
      </c>
      <c r="I17" s="65">
        <f>1277.08-H17</f>
        <v>565.2199999999998</v>
      </c>
      <c r="J17" s="65">
        <v>600.34</v>
      </c>
      <c r="K17" s="19">
        <f t="shared" si="0"/>
        <v>2214.2600000000002</v>
      </c>
      <c r="L17" s="4"/>
      <c r="M17" s="4"/>
      <c r="N17" s="44"/>
      <c r="O17" s="44"/>
    </row>
    <row r="18" spans="1:15" ht="19.899999999999999" customHeight="1">
      <c r="A18" s="20"/>
      <c r="B18" s="21"/>
      <c r="C18" s="21" t="s">
        <v>0</v>
      </c>
      <c r="D18" s="22"/>
      <c r="E18" s="21"/>
      <c r="F18" s="21"/>
      <c r="G18" s="65" t="s">
        <v>0</v>
      </c>
      <c r="H18" s="65" t="s">
        <v>0</v>
      </c>
      <c r="I18" s="65" t="s">
        <v>0</v>
      </c>
      <c r="J18" s="65" t="s">
        <v>0</v>
      </c>
      <c r="K18" s="19" t="s">
        <v>0</v>
      </c>
      <c r="L18" s="4"/>
      <c r="M18" s="4"/>
    </row>
    <row r="19" spans="1:15" ht="19.899999999999999" customHeight="1">
      <c r="A19" s="25">
        <v>0.03</v>
      </c>
      <c r="B19" s="18"/>
      <c r="C19" s="18" t="s">
        <v>101</v>
      </c>
      <c r="D19" s="19"/>
      <c r="E19" s="18"/>
      <c r="F19" s="18"/>
      <c r="G19" s="65">
        <v>19795</v>
      </c>
      <c r="H19" s="65">
        <f>26289-G19</f>
        <v>6494</v>
      </c>
      <c r="I19" s="65">
        <f>51142-H19</f>
        <v>44648</v>
      </c>
      <c r="J19" s="65">
        <f>61283-I19</f>
        <v>16635</v>
      </c>
      <c r="K19" s="19">
        <f t="shared" si="0"/>
        <v>87572</v>
      </c>
      <c r="L19" s="4"/>
      <c r="M19" s="4"/>
    </row>
    <row r="20" spans="1:15" ht="19.899999999999999" customHeight="1">
      <c r="A20" s="20"/>
      <c r="B20" s="21"/>
      <c r="C20" s="21"/>
      <c r="D20" s="22"/>
      <c r="E20" s="21"/>
      <c r="F20" s="21"/>
      <c r="G20" s="65" t="s">
        <v>0</v>
      </c>
      <c r="H20" s="65" t="s">
        <v>0</v>
      </c>
      <c r="I20" s="65" t="s">
        <v>0</v>
      </c>
      <c r="J20" s="65" t="s">
        <v>0</v>
      </c>
      <c r="K20" s="19" t="s">
        <v>0</v>
      </c>
      <c r="L20" s="4"/>
      <c r="M20" s="4"/>
    </row>
    <row r="21" spans="1:15" ht="19.899999999999999" customHeight="1">
      <c r="A21" s="25">
        <v>0.05</v>
      </c>
      <c r="B21" s="18"/>
      <c r="C21" s="18" t="s">
        <v>102</v>
      </c>
      <c r="D21" s="19"/>
      <c r="E21" s="18"/>
      <c r="F21" s="18"/>
      <c r="G21" s="65">
        <v>4627.25</v>
      </c>
      <c r="H21" s="65">
        <f>6177.07-G21</f>
        <v>1549.8199999999997</v>
      </c>
      <c r="I21" s="65">
        <f>8298.41-H21</f>
        <v>6748.59</v>
      </c>
      <c r="J21" s="65">
        <f>12718.74-I21</f>
        <v>5970.15</v>
      </c>
      <c r="K21" s="19">
        <f t="shared" si="0"/>
        <v>18895.809999999998</v>
      </c>
      <c r="L21" s="4"/>
      <c r="M21" s="4" t="s">
        <v>0</v>
      </c>
    </row>
    <row r="22" spans="1:15" ht="19.899999999999999" customHeight="1">
      <c r="A22" s="20"/>
      <c r="B22" s="21"/>
      <c r="C22" s="21"/>
      <c r="D22" s="22"/>
      <c r="E22" s="21"/>
      <c r="F22" s="21"/>
      <c r="G22" s="65" t="s">
        <v>0</v>
      </c>
      <c r="H22" s="65" t="s">
        <v>0</v>
      </c>
      <c r="I22" s="65" t="s">
        <v>0</v>
      </c>
      <c r="J22" s="65" t="s">
        <v>0</v>
      </c>
      <c r="K22" s="19" t="s">
        <v>0</v>
      </c>
      <c r="L22" s="4"/>
      <c r="M22" s="4"/>
    </row>
    <row r="23" spans="1:15" ht="19.899999999999999" customHeight="1">
      <c r="A23" s="23">
        <v>0.05</v>
      </c>
      <c r="B23" s="18"/>
      <c r="C23" s="18" t="s">
        <v>103</v>
      </c>
      <c r="D23" s="19"/>
      <c r="E23" s="18"/>
      <c r="F23" s="18"/>
      <c r="G23" s="65">
        <v>22844</v>
      </c>
      <c r="H23" s="65">
        <v>27273</v>
      </c>
      <c r="I23" s="65">
        <v>28821</v>
      </c>
      <c r="J23" s="65">
        <v>32253</v>
      </c>
      <c r="K23" s="19">
        <f t="shared" si="0"/>
        <v>111191</v>
      </c>
      <c r="L23" s="4"/>
      <c r="M23" s="4"/>
    </row>
    <row r="24" spans="1:15" ht="19.899999999999999" customHeight="1">
      <c r="A24" s="20"/>
      <c r="B24" s="21"/>
      <c r="C24" s="21" t="s">
        <v>0</v>
      </c>
      <c r="D24" s="22"/>
      <c r="E24" s="21"/>
      <c r="F24" s="21"/>
      <c r="G24" s="65"/>
      <c r="H24" s="65" t="s">
        <v>0</v>
      </c>
      <c r="I24" s="65" t="s">
        <v>0</v>
      </c>
      <c r="J24" s="65" t="s">
        <v>0</v>
      </c>
      <c r="K24" s="19" t="s">
        <v>0</v>
      </c>
      <c r="L24" s="4"/>
      <c r="M24" s="4"/>
    </row>
    <row r="25" spans="1:15" ht="19.899999999999999" customHeight="1">
      <c r="A25" s="23">
        <v>0.04</v>
      </c>
      <c r="B25" s="18"/>
      <c r="C25" s="18" t="s">
        <v>104</v>
      </c>
      <c r="D25" s="19"/>
      <c r="E25" s="18"/>
      <c r="F25" s="18"/>
      <c r="G25" s="65">
        <v>157587</v>
      </c>
      <c r="H25" s="65">
        <f>248148-G25</f>
        <v>90561</v>
      </c>
      <c r="I25" s="65">
        <f>316920-H25</f>
        <v>226359</v>
      </c>
      <c r="J25" s="65">
        <f>398514-I25</f>
        <v>172155</v>
      </c>
      <c r="K25" s="19">
        <f t="shared" si="0"/>
        <v>646662</v>
      </c>
      <c r="L25" s="4"/>
      <c r="M25" s="4" t="s">
        <v>0</v>
      </c>
    </row>
    <row r="26" spans="1:15" ht="19.899999999999999" customHeight="1">
      <c r="A26" s="20"/>
      <c r="B26" s="21"/>
      <c r="C26" s="21" t="s">
        <v>0</v>
      </c>
      <c r="D26" s="22"/>
      <c r="E26" s="21"/>
      <c r="F26" s="21"/>
      <c r="G26" s="65" t="s">
        <v>0</v>
      </c>
      <c r="H26" s="65" t="s">
        <v>0</v>
      </c>
      <c r="I26" s="65"/>
      <c r="J26" s="65" t="s">
        <v>0</v>
      </c>
      <c r="K26" s="19" t="s">
        <v>0</v>
      </c>
      <c r="L26" s="4"/>
      <c r="M26" s="4"/>
    </row>
    <row r="27" spans="1:15" ht="19.899999999999999" customHeight="1">
      <c r="A27" s="17" t="s">
        <v>22</v>
      </c>
      <c r="B27" s="18"/>
      <c r="C27" s="18" t="s">
        <v>105</v>
      </c>
      <c r="D27" s="19"/>
      <c r="E27" s="18"/>
      <c r="F27" s="18"/>
      <c r="G27" s="65">
        <v>795</v>
      </c>
      <c r="H27" s="65">
        <f>1776-G27</f>
        <v>981</v>
      </c>
      <c r="I27" s="65">
        <f>2654-H27</f>
        <v>1673</v>
      </c>
      <c r="J27" s="65">
        <f>3699-I27</f>
        <v>2026</v>
      </c>
      <c r="K27" s="19">
        <f t="shared" si="0"/>
        <v>5475</v>
      </c>
      <c r="L27" s="4"/>
      <c r="M27" s="4"/>
    </row>
    <row r="28" spans="1:15" ht="19.899999999999999" customHeight="1">
      <c r="A28" s="20"/>
      <c r="B28" s="21"/>
      <c r="C28" s="21"/>
      <c r="D28" s="22"/>
      <c r="E28" s="21"/>
      <c r="F28" s="21"/>
      <c r="G28" s="65"/>
      <c r="H28" s="65"/>
      <c r="I28" s="65"/>
      <c r="J28" s="65"/>
      <c r="K28" s="19"/>
      <c r="L28" s="4"/>
      <c r="M28" s="4"/>
    </row>
    <row r="29" spans="1:15" ht="19.899999999999999" customHeight="1">
      <c r="A29" s="23">
        <v>0.03</v>
      </c>
      <c r="B29" s="18"/>
      <c r="C29" s="18" t="s">
        <v>135</v>
      </c>
      <c r="D29" s="19"/>
      <c r="E29" s="18"/>
      <c r="F29" s="18"/>
      <c r="G29" s="65">
        <v>0</v>
      </c>
      <c r="H29" s="65">
        <v>453</v>
      </c>
      <c r="I29" s="65">
        <f>2289-H29</f>
        <v>1836</v>
      </c>
      <c r="J29" s="65">
        <f>2546-I29</f>
        <v>710</v>
      </c>
      <c r="K29" s="19">
        <v>2546</v>
      </c>
      <c r="L29" s="4"/>
      <c r="M29" s="4"/>
    </row>
    <row r="30" spans="1:15" ht="19.899999999999999" customHeight="1">
      <c r="A30" s="23">
        <v>0.05</v>
      </c>
      <c r="B30" s="18"/>
      <c r="C30" s="18" t="s">
        <v>65</v>
      </c>
      <c r="D30" s="22"/>
      <c r="E30" s="18"/>
      <c r="F30" s="18"/>
      <c r="G30" s="65">
        <v>88366.57</v>
      </c>
      <c r="H30" s="65">
        <f>156587.58-G30</f>
        <v>68221.00999999998</v>
      </c>
      <c r="I30" s="65">
        <f>208192.15-H30</f>
        <v>139971.14000000001</v>
      </c>
      <c r="J30" s="65">
        <f>269867.05-I30</f>
        <v>129895.90999999997</v>
      </c>
      <c r="K30" s="19">
        <f t="shared" si="0"/>
        <v>426454.62999999995</v>
      </c>
      <c r="L30" s="4"/>
      <c r="M30" s="4"/>
    </row>
    <row r="31" spans="1:15" ht="19.899999999999999" customHeight="1">
      <c r="A31" s="20"/>
      <c r="B31" s="21"/>
      <c r="C31" s="21"/>
      <c r="D31" s="21"/>
      <c r="E31" s="26"/>
      <c r="F31" s="26"/>
      <c r="G31" s="112"/>
      <c r="H31" s="112"/>
      <c r="I31" s="65" t="s">
        <v>0</v>
      </c>
      <c r="J31" s="65" t="s">
        <v>0</v>
      </c>
      <c r="K31" s="19" t="s">
        <v>0</v>
      </c>
      <c r="L31" s="4"/>
      <c r="M31" s="4"/>
    </row>
    <row r="32" spans="1:15" ht="17.25" thickBot="1">
      <c r="A32" s="27"/>
      <c r="B32" s="28"/>
      <c r="C32" s="28" t="s">
        <v>106</v>
      </c>
      <c r="D32" s="29"/>
      <c r="E32" s="28"/>
      <c r="F32" s="28"/>
      <c r="G32" s="62">
        <f>SUM(G9:G31)</f>
        <v>454902.45</v>
      </c>
      <c r="H32" s="62">
        <f>SUM(H9:H31)</f>
        <v>308588.29000000004</v>
      </c>
      <c r="I32" s="62">
        <f>SUM(I9:I31)</f>
        <v>660746.76</v>
      </c>
      <c r="J32" s="65">
        <f>SUM(J9:J31)</f>
        <v>539346.73</v>
      </c>
      <c r="K32" s="19">
        <f t="shared" si="0"/>
        <v>1963584.23</v>
      </c>
      <c r="L32" s="4"/>
      <c r="M32" s="4"/>
    </row>
    <row r="33" spans="1:13" s="4" customFormat="1" ht="15.75" thickTop="1">
      <c r="A33" s="5"/>
      <c r="I33" s="30"/>
      <c r="J33" s="30"/>
      <c r="K33" s="6">
        <f>G32+H32+I32+J32</f>
        <v>1963584.23</v>
      </c>
    </row>
    <row r="34" spans="1:13" s="4" customFormat="1" ht="15.75">
      <c r="A34" s="31">
        <v>1</v>
      </c>
      <c r="B34" s="32"/>
      <c r="C34" s="4" t="s">
        <v>107</v>
      </c>
      <c r="K34" s="6"/>
    </row>
    <row r="35" spans="1:13" ht="15.75">
      <c r="A35" s="33"/>
      <c r="B35" s="4"/>
      <c r="C35" s="4"/>
      <c r="D35" s="4"/>
      <c r="E35" s="4"/>
      <c r="F35" s="4"/>
      <c r="G35" s="4"/>
      <c r="H35" s="4"/>
      <c r="I35" s="4"/>
      <c r="J35" s="4"/>
      <c r="K35" s="6"/>
      <c r="L35" s="4"/>
      <c r="M35" s="4"/>
    </row>
    <row r="36" spans="1:13">
      <c r="A36" s="34"/>
      <c r="B36" s="35"/>
      <c r="C36" s="35"/>
      <c r="D36" s="35"/>
      <c r="E36" s="35"/>
      <c r="F36" s="35"/>
      <c r="G36" s="35"/>
      <c r="H36" s="35"/>
      <c r="I36" s="35"/>
      <c r="J36" s="35"/>
      <c r="K36" s="36"/>
    </row>
    <row r="39" spans="1:13" ht="15.75">
      <c r="C39" s="37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L179"/>
  <sheetViews>
    <sheetView topLeftCell="B1" workbookViewId="0">
      <pane xSplit="2" ySplit="7" topLeftCell="D35" activePane="bottomRight" state="frozen"/>
      <selection activeCell="B1" sqref="B1"/>
      <selection pane="topRight" activeCell="C1" sqref="C1"/>
      <selection pane="bottomLeft" activeCell="B8" sqref="B8"/>
      <selection pane="bottomRight" activeCell="B41" sqref="B41"/>
    </sheetView>
  </sheetViews>
  <sheetFormatPr defaultColWidth="8.77734375" defaultRowHeight="14.25"/>
  <cols>
    <col min="1" max="2" width="6.44140625" style="55" customWidth="1"/>
    <col min="3" max="3" width="29.109375" style="55" customWidth="1"/>
    <col min="4" max="4" width="11.6640625" style="55" customWidth="1"/>
    <col min="5" max="5" width="13.5546875" style="55" customWidth="1"/>
    <col min="6" max="6" width="13.21875" style="55" customWidth="1"/>
    <col min="7" max="7" width="12.77734375" style="55" customWidth="1"/>
    <col min="8" max="8" width="14.77734375" style="55" customWidth="1"/>
    <col min="9" max="9" width="8.77734375" style="55"/>
    <col min="10" max="11" width="9.6640625" style="55" bestFit="1" customWidth="1"/>
    <col min="12" max="16384" width="8.77734375" style="55"/>
  </cols>
  <sheetData>
    <row r="1" spans="1:9" s="47" customFormat="1">
      <c r="A1" s="45" t="s">
        <v>0</v>
      </c>
      <c r="B1" s="46"/>
      <c r="C1" s="46"/>
      <c r="D1" s="46" t="s">
        <v>1</v>
      </c>
      <c r="E1" s="46"/>
      <c r="F1" s="46"/>
      <c r="G1" s="46"/>
      <c r="H1" s="73">
        <f ca="1">NOW()</f>
        <v>44902.644180787036</v>
      </c>
    </row>
    <row r="2" spans="1:9" s="47" customFormat="1">
      <c r="A2" s="48" t="s">
        <v>0</v>
      </c>
      <c r="D2" s="47" t="s">
        <v>110</v>
      </c>
      <c r="H2" s="49"/>
    </row>
    <row r="3" spans="1:9" s="47" customFormat="1">
      <c r="A3" s="48" t="s">
        <v>0</v>
      </c>
      <c r="D3" s="47" t="s">
        <v>119</v>
      </c>
      <c r="H3" s="49"/>
    </row>
    <row r="4" spans="1:9" s="47" customFormat="1">
      <c r="A4" s="69" t="s">
        <v>2</v>
      </c>
      <c r="B4" s="70"/>
      <c r="C4" s="70" t="s">
        <v>2</v>
      </c>
      <c r="D4" s="70" t="s">
        <v>2</v>
      </c>
      <c r="E4" s="70" t="s">
        <v>2</v>
      </c>
      <c r="F4" s="70" t="s">
        <v>2</v>
      </c>
      <c r="G4" s="70" t="s">
        <v>2</v>
      </c>
      <c r="H4" s="71" t="s">
        <v>2</v>
      </c>
    </row>
    <row r="5" spans="1:9" s="47" customFormat="1">
      <c r="A5" s="48"/>
      <c r="C5" s="74"/>
      <c r="D5" s="75" t="s">
        <v>3</v>
      </c>
      <c r="E5" s="75" t="s">
        <v>4</v>
      </c>
      <c r="F5" s="75" t="s">
        <v>5</v>
      </c>
      <c r="G5" s="75" t="s">
        <v>6</v>
      </c>
      <c r="H5" s="76"/>
    </row>
    <row r="6" spans="1:9" s="47" customFormat="1">
      <c r="A6" s="48"/>
      <c r="C6" s="74"/>
      <c r="D6" s="75" t="s">
        <v>7</v>
      </c>
      <c r="E6" s="75" t="s">
        <v>8</v>
      </c>
      <c r="F6" s="75" t="s">
        <v>7</v>
      </c>
      <c r="G6" s="75" t="s">
        <v>73</v>
      </c>
      <c r="H6" s="77" t="s">
        <v>9</v>
      </c>
    </row>
    <row r="7" spans="1:9" s="47" customFormat="1">
      <c r="A7" s="68"/>
      <c r="B7" s="145"/>
      <c r="C7" s="78" t="s">
        <v>10</v>
      </c>
      <c r="D7" s="79" t="s">
        <v>11</v>
      </c>
      <c r="E7" s="79" t="s">
        <v>12</v>
      </c>
      <c r="F7" s="80" t="s">
        <v>13</v>
      </c>
      <c r="G7" s="79" t="s">
        <v>14</v>
      </c>
      <c r="H7" s="81" t="s">
        <v>15</v>
      </c>
      <c r="I7" s="47" t="s">
        <v>0</v>
      </c>
    </row>
    <row r="8" spans="1:9" s="47" customFormat="1" ht="15">
      <c r="A8" s="82" t="s">
        <v>16</v>
      </c>
      <c r="B8" s="82" t="s">
        <v>16</v>
      </c>
      <c r="C8" s="83" t="s">
        <v>17</v>
      </c>
      <c r="D8" s="84">
        <v>131390</v>
      </c>
      <c r="E8" s="84">
        <f>223053-D8</f>
        <v>91663</v>
      </c>
      <c r="F8" s="84">
        <v>73477.34</v>
      </c>
      <c r="G8" s="84">
        <f>517735-F8</f>
        <v>444257.66000000003</v>
      </c>
      <c r="H8" s="86">
        <f>D8+E8+F8+G8</f>
        <v>740788</v>
      </c>
      <c r="I8" s="47" t="s">
        <v>0</v>
      </c>
    </row>
    <row r="9" spans="1:9" s="131" customFormat="1" ht="15">
      <c r="A9" s="130">
        <v>0.05</v>
      </c>
      <c r="B9" s="130">
        <v>0.05</v>
      </c>
      <c r="C9" s="89" t="s">
        <v>78</v>
      </c>
      <c r="D9" s="111">
        <v>2692022</v>
      </c>
      <c r="E9" s="111">
        <f>5405159-D9</f>
        <v>2713137</v>
      </c>
      <c r="F9" s="111">
        <v>2193185.06</v>
      </c>
      <c r="G9" s="111">
        <f>9121338-F9</f>
        <v>6928152.9399999995</v>
      </c>
      <c r="H9" s="86">
        <f t="shared" ref="H9:H72" si="0">D9+E9+F9+G9</f>
        <v>14526497</v>
      </c>
    </row>
    <row r="10" spans="1:9" s="131" customFormat="1" ht="15">
      <c r="A10" s="130">
        <v>0.01</v>
      </c>
      <c r="B10" s="130">
        <v>0.01</v>
      </c>
      <c r="C10" s="89" t="s">
        <v>81</v>
      </c>
      <c r="D10" s="111">
        <v>538427</v>
      </c>
      <c r="E10" s="111">
        <f>1081055-D10</f>
        <v>542628</v>
      </c>
      <c r="F10" s="111">
        <f>1263536-E10</f>
        <v>720908</v>
      </c>
      <c r="G10" s="111">
        <f>1824238-F10</f>
        <v>1103330</v>
      </c>
      <c r="H10" s="86">
        <f t="shared" si="0"/>
        <v>2905293</v>
      </c>
    </row>
    <row r="11" spans="1:9" s="47" customFormat="1" ht="15">
      <c r="A11" s="82" t="s">
        <v>16</v>
      </c>
      <c r="B11" s="82" t="s">
        <v>16</v>
      </c>
      <c r="C11" s="85" t="s">
        <v>18</v>
      </c>
      <c r="D11" s="84">
        <v>38652</v>
      </c>
      <c r="E11" s="111">
        <f>53975-D11</f>
        <v>15323</v>
      </c>
      <c r="F11" s="111">
        <f>186633-E11</f>
        <v>171310</v>
      </c>
      <c r="G11" s="111">
        <f>244506-F11</f>
        <v>73196</v>
      </c>
      <c r="H11" s="86">
        <f t="shared" si="0"/>
        <v>298481</v>
      </c>
      <c r="I11" s="47" t="s">
        <v>0</v>
      </c>
    </row>
    <row r="12" spans="1:9" s="47" customFormat="1" ht="15">
      <c r="A12" s="82" t="s">
        <v>16</v>
      </c>
      <c r="B12" s="82" t="s">
        <v>16</v>
      </c>
      <c r="C12" s="85" t="s">
        <v>19</v>
      </c>
      <c r="D12" s="111">
        <v>73809</v>
      </c>
      <c r="E12" s="111">
        <f>121647-D12</f>
        <v>47838</v>
      </c>
      <c r="F12" s="84">
        <f>193832-E12</f>
        <v>145994</v>
      </c>
      <c r="G12" s="111">
        <f>290995-F12</f>
        <v>145001</v>
      </c>
      <c r="H12" s="86">
        <f t="shared" si="0"/>
        <v>412642</v>
      </c>
    </row>
    <row r="13" spans="1:9" s="47" customFormat="1" ht="15">
      <c r="A13" s="82" t="s">
        <v>16</v>
      </c>
      <c r="B13" s="82" t="s">
        <v>16</v>
      </c>
      <c r="C13" s="85" t="s">
        <v>20</v>
      </c>
      <c r="D13" s="111">
        <v>2266.46</v>
      </c>
      <c r="E13" s="111">
        <f>5607.88-D13</f>
        <v>3341.42</v>
      </c>
      <c r="F13" s="84">
        <f>7198.58-E13</f>
        <v>3857.16</v>
      </c>
      <c r="G13" s="84">
        <f>10924.73-F13</f>
        <v>7067.57</v>
      </c>
      <c r="H13" s="86">
        <f t="shared" si="0"/>
        <v>16532.61</v>
      </c>
    </row>
    <row r="14" spans="1:9" s="47" customFormat="1" ht="15">
      <c r="A14" s="87">
        <v>0.04</v>
      </c>
      <c r="B14" s="87">
        <v>0.04</v>
      </c>
      <c r="C14" s="85" t="s">
        <v>21</v>
      </c>
      <c r="D14" s="84">
        <v>8087</v>
      </c>
      <c r="E14" s="111">
        <f>18456-D14</f>
        <v>10369</v>
      </c>
      <c r="F14" s="111">
        <v>8581.85</v>
      </c>
      <c r="G14" s="111">
        <f>32277-F14</f>
        <v>23695.15</v>
      </c>
      <c r="H14" s="86">
        <f t="shared" si="0"/>
        <v>50733</v>
      </c>
    </row>
    <row r="15" spans="1:9" s="47" customFormat="1" ht="15">
      <c r="A15" s="82" t="s">
        <v>22</v>
      </c>
      <c r="B15" s="82" t="s">
        <v>22</v>
      </c>
      <c r="C15" s="85" t="s">
        <v>23</v>
      </c>
      <c r="D15" s="111">
        <v>28128</v>
      </c>
      <c r="E15" s="84">
        <v>27183</v>
      </c>
      <c r="F15" s="111">
        <f>73937-E15</f>
        <v>46754</v>
      </c>
      <c r="G15" s="84">
        <f>98344-F15</f>
        <v>51590</v>
      </c>
      <c r="H15" s="86">
        <f t="shared" si="0"/>
        <v>153655</v>
      </c>
    </row>
    <row r="16" spans="1:9" s="47" customFormat="1" ht="15">
      <c r="A16" s="87">
        <v>0.03</v>
      </c>
      <c r="B16" s="87">
        <v>0.03</v>
      </c>
      <c r="C16" s="85" t="s">
        <v>75</v>
      </c>
      <c r="D16" s="84">
        <v>16702</v>
      </c>
      <c r="E16" s="111">
        <f>33110-D16</f>
        <v>16408</v>
      </c>
      <c r="F16" s="111">
        <f>42237-E16</f>
        <v>25829</v>
      </c>
      <c r="G16" s="111">
        <f>56845-F16</f>
        <v>31016</v>
      </c>
      <c r="H16" s="86">
        <f t="shared" si="0"/>
        <v>89955</v>
      </c>
    </row>
    <row r="17" spans="1:9" s="47" customFormat="1" ht="15">
      <c r="A17" s="87">
        <v>0.03</v>
      </c>
      <c r="B17" s="87">
        <v>0.03</v>
      </c>
      <c r="C17" s="85" t="s">
        <v>76</v>
      </c>
      <c r="D17" s="111">
        <v>179.03</v>
      </c>
      <c r="E17" s="111">
        <f>5035.36-D17</f>
        <v>4856.33</v>
      </c>
      <c r="F17" s="84">
        <v>3295.94</v>
      </c>
      <c r="G17" s="84">
        <v>3379.85</v>
      </c>
      <c r="H17" s="86">
        <f t="shared" si="0"/>
        <v>11711.15</v>
      </c>
    </row>
    <row r="18" spans="1:9" s="47" customFormat="1" ht="15">
      <c r="A18" s="87">
        <v>0.05</v>
      </c>
      <c r="B18" s="87">
        <v>0.05</v>
      </c>
      <c r="C18" s="85" t="s">
        <v>24</v>
      </c>
      <c r="D18" s="84">
        <v>315385</v>
      </c>
      <c r="E18" s="84">
        <f>594121-D18</f>
        <v>278736</v>
      </c>
      <c r="F18" s="111">
        <f>844966-E18</f>
        <v>566230</v>
      </c>
      <c r="G18" s="111">
        <f>1162524-F18</f>
        <v>596294</v>
      </c>
      <c r="H18" s="86">
        <f t="shared" si="0"/>
        <v>1756645</v>
      </c>
    </row>
    <row r="19" spans="1:9" s="47" customFormat="1" ht="15">
      <c r="A19" s="82" t="s">
        <v>22</v>
      </c>
      <c r="B19" s="82" t="s">
        <v>22</v>
      </c>
      <c r="C19" s="85" t="s">
        <v>25</v>
      </c>
      <c r="D19" s="111">
        <v>1784</v>
      </c>
      <c r="E19" s="84">
        <f>3118-D19</f>
        <v>1334</v>
      </c>
      <c r="F19" s="111">
        <f>5004-E19</f>
        <v>3670</v>
      </c>
      <c r="G19" s="111">
        <f>7336-F19</f>
        <v>3666</v>
      </c>
      <c r="H19" s="86">
        <f t="shared" si="0"/>
        <v>10454</v>
      </c>
    </row>
    <row r="20" spans="1:9" s="47" customFormat="1" ht="15">
      <c r="A20" s="87">
        <v>0.04</v>
      </c>
      <c r="B20" s="87">
        <v>0.04</v>
      </c>
      <c r="C20" s="85" t="s">
        <v>26</v>
      </c>
      <c r="D20" s="111">
        <v>42196</v>
      </c>
      <c r="E20" s="84">
        <f>70625-D20</f>
        <v>28429</v>
      </c>
      <c r="F20" s="111">
        <f>75318-E20</f>
        <v>46889</v>
      </c>
      <c r="G20" s="111">
        <f>82753-F20</f>
        <v>35864</v>
      </c>
      <c r="H20" s="86">
        <f t="shared" si="0"/>
        <v>153378</v>
      </c>
    </row>
    <row r="21" spans="1:9" s="47" customFormat="1" ht="15">
      <c r="A21" s="82" t="s">
        <v>27</v>
      </c>
      <c r="B21" s="82" t="s">
        <v>27</v>
      </c>
      <c r="C21" s="85" t="s">
        <v>28</v>
      </c>
      <c r="D21" s="84">
        <v>9351</v>
      </c>
      <c r="E21" s="84">
        <f>14210-D21</f>
        <v>4859</v>
      </c>
      <c r="F21" s="111">
        <f>17427-E21</f>
        <v>12568</v>
      </c>
      <c r="G21" s="84">
        <f>22966-F21</f>
        <v>10398</v>
      </c>
      <c r="H21" s="86">
        <f t="shared" si="0"/>
        <v>37176</v>
      </c>
    </row>
    <row r="22" spans="1:9" s="47" customFormat="1" ht="15">
      <c r="A22" s="87">
        <v>0.05</v>
      </c>
      <c r="B22" s="87">
        <v>0.05</v>
      </c>
      <c r="C22" s="85" t="s">
        <v>29</v>
      </c>
      <c r="D22" s="84">
        <v>46157.96</v>
      </c>
      <c r="E22" s="84">
        <f>75853.53-D22</f>
        <v>29695.57</v>
      </c>
      <c r="F22" s="84">
        <f>95847.2-E22</f>
        <v>66151.63</v>
      </c>
      <c r="G22" s="84">
        <f>123214-F22</f>
        <v>57062.369999999995</v>
      </c>
      <c r="H22" s="86">
        <f t="shared" si="0"/>
        <v>199067.53</v>
      </c>
    </row>
    <row r="23" spans="1:9" s="47" customFormat="1" ht="15">
      <c r="A23" s="87">
        <v>0.05</v>
      </c>
      <c r="B23" s="87">
        <v>0.05</v>
      </c>
      <c r="C23" s="85" t="s">
        <v>77</v>
      </c>
      <c r="D23" s="84">
        <v>44067</v>
      </c>
      <c r="E23" s="84">
        <f>73007-D23</f>
        <v>28940</v>
      </c>
      <c r="F23" s="111">
        <f>95325-E23</f>
        <v>66385</v>
      </c>
      <c r="G23" s="84">
        <f>118784-F23</f>
        <v>52399</v>
      </c>
      <c r="H23" s="86">
        <f t="shared" si="0"/>
        <v>191791</v>
      </c>
    </row>
    <row r="24" spans="1:9" s="47" customFormat="1" ht="15">
      <c r="A24" s="87">
        <v>0.05</v>
      </c>
      <c r="B24" s="87">
        <v>0.05</v>
      </c>
      <c r="C24" s="85" t="s">
        <v>30</v>
      </c>
      <c r="D24" s="84">
        <v>157671</v>
      </c>
      <c r="E24" s="84">
        <v>144182</v>
      </c>
      <c r="F24" s="84">
        <f>410093-E24</f>
        <v>265911</v>
      </c>
      <c r="G24" s="84">
        <f>535054-F24</f>
        <v>269143</v>
      </c>
      <c r="H24" s="86">
        <f t="shared" si="0"/>
        <v>836907</v>
      </c>
    </row>
    <row r="25" spans="1:9" s="47" customFormat="1" ht="15">
      <c r="A25" s="87">
        <v>0.05</v>
      </c>
      <c r="B25" s="87">
        <v>0.05</v>
      </c>
      <c r="C25" s="85" t="s">
        <v>31</v>
      </c>
      <c r="D25" s="111">
        <v>655</v>
      </c>
      <c r="E25" s="111">
        <f>1157-D25</f>
        <v>502</v>
      </c>
      <c r="F25" s="111">
        <f>1407-E25</f>
        <v>905</v>
      </c>
      <c r="G25" s="111">
        <f>2403-F25</f>
        <v>1498</v>
      </c>
      <c r="H25" s="86">
        <f t="shared" si="0"/>
        <v>3560</v>
      </c>
      <c r="I25" s="47" t="s">
        <v>0</v>
      </c>
    </row>
    <row r="26" spans="1:9" s="47" customFormat="1" ht="15">
      <c r="A26" s="93">
        <v>3.5000000000000003E-2</v>
      </c>
      <c r="B26" s="93">
        <v>3.5000000000000003E-2</v>
      </c>
      <c r="C26" s="85" t="s">
        <v>74</v>
      </c>
      <c r="D26" s="111">
        <v>1714</v>
      </c>
      <c r="E26" s="111">
        <f>3249-D26</f>
        <v>1535</v>
      </c>
      <c r="F26" s="111">
        <f>4286-E26</f>
        <v>2751</v>
      </c>
      <c r="G26" s="111">
        <f>5950-F26</f>
        <v>3199</v>
      </c>
      <c r="H26" s="86">
        <f t="shared" si="0"/>
        <v>9199</v>
      </c>
    </row>
    <row r="27" spans="1:9" s="47" customFormat="1" ht="15">
      <c r="A27" s="82" t="s">
        <v>22</v>
      </c>
      <c r="B27" s="82" t="s">
        <v>22</v>
      </c>
      <c r="C27" s="85" t="s">
        <v>32</v>
      </c>
      <c r="D27" s="111">
        <v>1489</v>
      </c>
      <c r="E27" s="84">
        <f>8493-D27</f>
        <v>7004</v>
      </c>
      <c r="F27" s="111">
        <v>6758</v>
      </c>
      <c r="G27" s="111">
        <v>9705</v>
      </c>
      <c r="H27" s="86">
        <f t="shared" si="0"/>
        <v>24956</v>
      </c>
    </row>
    <row r="28" spans="1:9" s="47" customFormat="1" ht="15">
      <c r="A28" s="94" t="s">
        <v>16</v>
      </c>
      <c r="B28" s="94" t="s">
        <v>16</v>
      </c>
      <c r="C28" s="95" t="s">
        <v>80</v>
      </c>
      <c r="D28" s="109">
        <v>104047</v>
      </c>
      <c r="E28" s="84">
        <f>198592-D28</f>
        <v>94545</v>
      </c>
      <c r="F28" s="111">
        <f>305015-E28</f>
        <v>210470</v>
      </c>
      <c r="G28" s="84">
        <f>409310-F28</f>
        <v>198840</v>
      </c>
      <c r="H28" s="86">
        <f t="shared" si="0"/>
        <v>607902</v>
      </c>
    </row>
    <row r="29" spans="1:9" s="47" customFormat="1" ht="15">
      <c r="A29" s="82" t="s">
        <v>22</v>
      </c>
      <c r="B29" s="82" t="s">
        <v>22</v>
      </c>
      <c r="C29" s="85" t="s">
        <v>33</v>
      </c>
      <c r="D29" s="84">
        <v>15724</v>
      </c>
      <c r="E29" s="84">
        <f>22682-D29</f>
        <v>6958</v>
      </c>
      <c r="F29" s="84">
        <f>27738-E29</f>
        <v>20780</v>
      </c>
      <c r="G29" s="84">
        <f>32434-F29</f>
        <v>11654</v>
      </c>
      <c r="H29" s="86">
        <f t="shared" si="0"/>
        <v>55116</v>
      </c>
    </row>
    <row r="30" spans="1:9" s="47" customFormat="1" ht="15">
      <c r="A30" s="87">
        <v>0.05</v>
      </c>
      <c r="B30" s="87">
        <v>0.05</v>
      </c>
      <c r="C30" s="85" t="s">
        <v>72</v>
      </c>
      <c r="D30" s="84">
        <v>12053.79</v>
      </c>
      <c r="E30" s="84">
        <f>20415.54-D30</f>
        <v>8361.75</v>
      </c>
      <c r="F30" s="111">
        <f>24626-E30</f>
        <v>16264.25</v>
      </c>
      <c r="G30" s="84">
        <f>31113-F30</f>
        <v>14848.75</v>
      </c>
      <c r="H30" s="86">
        <f t="shared" si="0"/>
        <v>51528.54</v>
      </c>
    </row>
    <row r="31" spans="1:9" s="47" customFormat="1" ht="15">
      <c r="A31" s="87">
        <v>0.05</v>
      </c>
      <c r="B31" s="87">
        <v>0.05</v>
      </c>
      <c r="C31" s="85" t="s">
        <v>34</v>
      </c>
      <c r="D31" s="111">
        <v>13668</v>
      </c>
      <c r="E31" s="111">
        <f>32253-D31</f>
        <v>18585</v>
      </c>
      <c r="F31" s="111">
        <f>35674-E31</f>
        <v>17089</v>
      </c>
      <c r="G31" s="111">
        <f>37009-F31</f>
        <v>19920</v>
      </c>
      <c r="H31" s="86">
        <f t="shared" si="0"/>
        <v>69262</v>
      </c>
    </row>
    <row r="32" spans="1:9" s="47" customFormat="1" ht="15.75">
      <c r="A32" s="82" t="s">
        <v>16</v>
      </c>
      <c r="B32" s="82" t="s">
        <v>16</v>
      </c>
      <c r="C32" s="85" t="s">
        <v>35</v>
      </c>
      <c r="D32" s="110">
        <v>300793</v>
      </c>
      <c r="E32" s="84">
        <f>616445-D32</f>
        <v>315652</v>
      </c>
      <c r="F32" s="84">
        <f>892614-E32</f>
        <v>576962</v>
      </c>
      <c r="G32" s="84">
        <f>1235675-F32</f>
        <v>658713</v>
      </c>
      <c r="H32" s="86">
        <f t="shared" si="0"/>
        <v>1852120</v>
      </c>
    </row>
    <row r="33" spans="1:8" s="47" customFormat="1" ht="15">
      <c r="A33" s="82" t="s">
        <v>16</v>
      </c>
      <c r="B33" s="82" t="s">
        <v>16</v>
      </c>
      <c r="C33" s="85" t="s">
        <v>36</v>
      </c>
      <c r="D33" s="84">
        <v>7276</v>
      </c>
      <c r="E33" s="84">
        <f>15095-D33</f>
        <v>7819</v>
      </c>
      <c r="F33" s="84">
        <f>18507-E33</f>
        <v>10688</v>
      </c>
      <c r="G33" s="84">
        <f>25941-F33</f>
        <v>15253</v>
      </c>
      <c r="H33" s="86">
        <f t="shared" si="0"/>
        <v>41036</v>
      </c>
    </row>
    <row r="34" spans="1:8" s="47" customFormat="1" ht="15">
      <c r="A34" s="82" t="s">
        <v>16</v>
      </c>
      <c r="B34" s="82" t="s">
        <v>16</v>
      </c>
      <c r="C34" s="85" t="s">
        <v>37</v>
      </c>
      <c r="D34" s="111">
        <v>287145</v>
      </c>
      <c r="E34" s="111">
        <f>811736-D34</f>
        <v>524591</v>
      </c>
      <c r="F34" s="111">
        <f>1041638-E34</f>
        <v>517047</v>
      </c>
      <c r="G34" s="111">
        <f>1384599-F34</f>
        <v>867552</v>
      </c>
      <c r="H34" s="86">
        <f t="shared" si="0"/>
        <v>2196335</v>
      </c>
    </row>
    <row r="35" spans="1:8" s="47" customFormat="1" ht="15">
      <c r="A35" s="82" t="s">
        <v>16</v>
      </c>
      <c r="B35" s="82" t="s">
        <v>16</v>
      </c>
      <c r="C35" s="85" t="s">
        <v>38</v>
      </c>
      <c r="D35" s="84">
        <v>120168</v>
      </c>
      <c r="E35" s="84">
        <f>202172-D35</f>
        <v>82004</v>
      </c>
      <c r="F35" s="84">
        <f>294382-E35</f>
        <v>212378</v>
      </c>
      <c r="G35" s="84">
        <f>402436-F35</f>
        <v>190058</v>
      </c>
      <c r="H35" s="86">
        <f t="shared" si="0"/>
        <v>604608</v>
      </c>
    </row>
    <row r="36" spans="1:8" s="47" customFormat="1" ht="15">
      <c r="A36" s="82" t="s">
        <v>22</v>
      </c>
      <c r="B36" s="82" t="s">
        <v>22</v>
      </c>
      <c r="C36" s="85" t="s">
        <v>39</v>
      </c>
      <c r="D36" s="84">
        <v>66.98</v>
      </c>
      <c r="E36" s="84">
        <f>418.13-D36</f>
        <v>351.15</v>
      </c>
      <c r="F36" s="84">
        <f>742.27-E36</f>
        <v>391.12</v>
      </c>
      <c r="G36" s="111">
        <f>1066-F36</f>
        <v>674.88</v>
      </c>
      <c r="H36" s="86">
        <f t="shared" si="0"/>
        <v>1484.13</v>
      </c>
    </row>
    <row r="37" spans="1:8" s="47" customFormat="1" ht="15">
      <c r="A37" s="87">
        <v>0.05</v>
      </c>
      <c r="B37" s="87">
        <v>0.05</v>
      </c>
      <c r="C37" s="85" t="s">
        <v>40</v>
      </c>
      <c r="D37" s="84">
        <v>290957</v>
      </c>
      <c r="E37" s="84">
        <f>589063-D37</f>
        <v>298106</v>
      </c>
      <c r="F37" s="111">
        <f>907979-E37</f>
        <v>609873</v>
      </c>
      <c r="G37" s="84">
        <f>1239044-F37</f>
        <v>629171</v>
      </c>
      <c r="H37" s="86">
        <f t="shared" si="0"/>
        <v>1828107</v>
      </c>
    </row>
    <row r="38" spans="1:8" s="47" customFormat="1" ht="15">
      <c r="A38" s="87">
        <v>0.03</v>
      </c>
      <c r="B38" s="87">
        <v>0.03</v>
      </c>
      <c r="C38" s="85" t="s">
        <v>41</v>
      </c>
      <c r="D38" s="111">
        <v>1219</v>
      </c>
      <c r="E38" s="84">
        <f>2166-D38</f>
        <v>947</v>
      </c>
      <c r="F38" s="111">
        <f>2635-E38</f>
        <v>1688</v>
      </c>
      <c r="G38" s="84">
        <f>3423-F38</f>
        <v>1735</v>
      </c>
      <c r="H38" s="86">
        <f t="shared" si="0"/>
        <v>5589</v>
      </c>
    </row>
    <row r="39" spans="1:8" s="47" customFormat="1" ht="15">
      <c r="A39" s="82" t="s">
        <v>16</v>
      </c>
      <c r="B39" s="82" t="s">
        <v>16</v>
      </c>
      <c r="C39" s="85" t="s">
        <v>42</v>
      </c>
      <c r="D39" s="111">
        <v>3370</v>
      </c>
      <c r="E39" s="84">
        <f>6908-D39</f>
        <v>3538</v>
      </c>
      <c r="F39" s="84">
        <f>8894-E39</f>
        <v>5356</v>
      </c>
      <c r="G39" s="111">
        <f>12496-F39</f>
        <v>7140</v>
      </c>
      <c r="H39" s="86">
        <f t="shared" si="0"/>
        <v>19404</v>
      </c>
    </row>
    <row r="40" spans="1:8" s="47" customFormat="1" ht="15">
      <c r="A40" s="82" t="s">
        <v>16</v>
      </c>
      <c r="B40" s="82" t="s">
        <v>16</v>
      </c>
      <c r="C40" s="85" t="s">
        <v>43</v>
      </c>
      <c r="D40" s="111">
        <v>482662</v>
      </c>
      <c r="E40" s="111">
        <f>977411-D40</f>
        <v>494749</v>
      </c>
      <c r="F40" s="111">
        <f>1423284-E40</f>
        <v>928535</v>
      </c>
      <c r="G40" s="111">
        <f>1990946-F40</f>
        <v>1062411</v>
      </c>
      <c r="H40" s="86">
        <f t="shared" si="0"/>
        <v>2968357</v>
      </c>
    </row>
    <row r="41" spans="1:8" s="47" customFormat="1" ht="15">
      <c r="A41" s="82" t="s">
        <v>117</v>
      </c>
      <c r="B41" s="147">
        <v>2.5</v>
      </c>
      <c r="C41" s="85" t="s">
        <v>148</v>
      </c>
      <c r="D41" s="111">
        <v>328413</v>
      </c>
      <c r="E41" s="111">
        <f>647491.91-D41</f>
        <v>319078.91000000003</v>
      </c>
      <c r="F41" s="111">
        <f>944207.9-E41</f>
        <v>625128.99</v>
      </c>
      <c r="G41" s="111">
        <f>1315370-F41</f>
        <v>690241.01</v>
      </c>
      <c r="H41" s="86">
        <f t="shared" si="0"/>
        <v>1962861.91</v>
      </c>
    </row>
    <row r="42" spans="1:8" s="47" customFormat="1" ht="15">
      <c r="A42" s="82" t="s">
        <v>27</v>
      </c>
      <c r="B42" s="82" t="s">
        <v>27</v>
      </c>
      <c r="C42" s="85" t="s">
        <v>44</v>
      </c>
      <c r="D42" s="84">
        <v>82835</v>
      </c>
      <c r="E42" s="84">
        <f>133991-D42</f>
        <v>51156</v>
      </c>
      <c r="F42" s="111">
        <f>183267-E42</f>
        <v>132111</v>
      </c>
      <c r="G42" s="111">
        <f>242320-F42</f>
        <v>110209</v>
      </c>
      <c r="H42" s="86">
        <f t="shared" si="0"/>
        <v>376311</v>
      </c>
    </row>
    <row r="43" spans="1:8" s="47" customFormat="1" ht="15">
      <c r="A43" s="82" t="s">
        <v>22</v>
      </c>
      <c r="B43" s="82" t="s">
        <v>22</v>
      </c>
      <c r="C43" s="85" t="s">
        <v>45</v>
      </c>
      <c r="D43" s="84">
        <v>3305</v>
      </c>
      <c r="E43" s="84">
        <f>6022-D43</f>
        <v>2717</v>
      </c>
      <c r="F43" s="84">
        <f>6969-E43</f>
        <v>4252</v>
      </c>
      <c r="G43" s="84">
        <f>9400-F43</f>
        <v>5148</v>
      </c>
      <c r="H43" s="86">
        <f t="shared" si="0"/>
        <v>15422</v>
      </c>
    </row>
    <row r="44" spans="1:8" s="47" customFormat="1" ht="15">
      <c r="A44" s="82" t="s">
        <v>16</v>
      </c>
      <c r="B44" s="82" t="s">
        <v>16</v>
      </c>
      <c r="C44" s="85" t="s">
        <v>46</v>
      </c>
      <c r="D44" s="111">
        <v>54494.65</v>
      </c>
      <c r="E44" s="111">
        <f>116507-D44</f>
        <v>62012.35</v>
      </c>
      <c r="F44" s="111">
        <f>174155-E44</f>
        <v>112142.65</v>
      </c>
      <c r="G44" s="111">
        <f>222635-F44</f>
        <v>110492.35</v>
      </c>
      <c r="H44" s="86">
        <f t="shared" si="0"/>
        <v>339142</v>
      </c>
    </row>
    <row r="45" spans="1:8" s="47" customFormat="1" ht="15">
      <c r="A45" s="82" t="s">
        <v>27</v>
      </c>
      <c r="B45" s="82" t="s">
        <v>27</v>
      </c>
      <c r="C45" s="85" t="s">
        <v>48</v>
      </c>
      <c r="D45" s="111">
        <v>22451.41</v>
      </c>
      <c r="E45" s="111">
        <v>24281.01</v>
      </c>
      <c r="F45" s="111">
        <v>39994.85</v>
      </c>
      <c r="G45" s="84">
        <v>47688.75</v>
      </c>
      <c r="H45" s="86">
        <f t="shared" si="0"/>
        <v>134416.01999999999</v>
      </c>
    </row>
    <row r="46" spans="1:8" s="47" customFormat="1" ht="15">
      <c r="A46" s="94" t="s">
        <v>16</v>
      </c>
      <c r="B46" s="94" t="s">
        <v>16</v>
      </c>
      <c r="C46" s="85" t="s">
        <v>49</v>
      </c>
      <c r="D46" s="84">
        <v>17222.919999999998</v>
      </c>
      <c r="E46" s="84">
        <f>39350-D46</f>
        <v>22127.08</v>
      </c>
      <c r="F46" s="84">
        <f>55472-E46</f>
        <v>33344.92</v>
      </c>
      <c r="G46" s="111">
        <f>73421-F46</f>
        <v>40076.080000000002</v>
      </c>
      <c r="H46" s="86">
        <f t="shared" si="0"/>
        <v>112771</v>
      </c>
    </row>
    <row r="47" spans="1:8" s="47" customFormat="1" ht="15">
      <c r="A47" s="87">
        <v>0.04</v>
      </c>
      <c r="B47" s="87">
        <v>0.04</v>
      </c>
      <c r="C47" s="85" t="s">
        <v>50</v>
      </c>
      <c r="D47" s="111">
        <v>645.07000000000005</v>
      </c>
      <c r="E47" s="84">
        <f>2252.54-D47</f>
        <v>1607.4699999999998</v>
      </c>
      <c r="F47" s="111">
        <f>1707.67+1328.23-E47</f>
        <v>1428.4300000000003</v>
      </c>
      <c r="G47" s="84">
        <f>3751.25-F47</f>
        <v>2322.8199999999997</v>
      </c>
      <c r="H47" s="86">
        <f t="shared" si="0"/>
        <v>6003.79</v>
      </c>
    </row>
    <row r="48" spans="1:8" s="47" customFormat="1" ht="15">
      <c r="A48" s="82" t="s">
        <v>16</v>
      </c>
      <c r="B48" s="82" t="s">
        <v>16</v>
      </c>
      <c r="C48" s="85" t="s">
        <v>122</v>
      </c>
      <c r="D48" s="111">
        <v>818</v>
      </c>
      <c r="E48" s="111">
        <f>2081.85-D48</f>
        <v>1263.8499999999999</v>
      </c>
      <c r="F48" s="114">
        <f>3317-E48</f>
        <v>2053.15</v>
      </c>
      <c r="G48" s="111">
        <f>4393.54-F48</f>
        <v>2340.39</v>
      </c>
      <c r="H48" s="86">
        <f t="shared" si="0"/>
        <v>6475.3899999999994</v>
      </c>
    </row>
    <row r="49" spans="1:10" s="47" customFormat="1" ht="15">
      <c r="A49" s="82" t="s">
        <v>22</v>
      </c>
      <c r="B49" s="82" t="s">
        <v>22</v>
      </c>
      <c r="C49" s="85" t="s">
        <v>51</v>
      </c>
      <c r="D49" s="84">
        <v>965</v>
      </c>
      <c r="E49" s="84">
        <f>1924-D49</f>
        <v>959</v>
      </c>
      <c r="F49" s="84">
        <f>2504-E49</f>
        <v>1545</v>
      </c>
      <c r="G49" s="111">
        <f>2970-F49</f>
        <v>1425</v>
      </c>
      <c r="H49" s="86">
        <f t="shared" si="0"/>
        <v>4894</v>
      </c>
    </row>
    <row r="50" spans="1:10" s="47" customFormat="1" ht="15">
      <c r="A50" s="82" t="s">
        <v>16</v>
      </c>
      <c r="B50" s="82" t="s">
        <v>16</v>
      </c>
      <c r="C50" s="85" t="s">
        <v>52</v>
      </c>
      <c r="D50" s="111">
        <v>37544</v>
      </c>
      <c r="E50" s="84">
        <f>71559-D50</f>
        <v>34015</v>
      </c>
      <c r="F50" s="84">
        <f>100778-E50</f>
        <v>66763</v>
      </c>
      <c r="G50" s="84">
        <f>159147-F50</f>
        <v>92384</v>
      </c>
      <c r="H50" s="86">
        <f t="shared" si="0"/>
        <v>230706</v>
      </c>
    </row>
    <row r="51" spans="1:10" s="47" customFormat="1" ht="15">
      <c r="A51" s="82" t="s">
        <v>22</v>
      </c>
      <c r="B51" s="82" t="s">
        <v>22</v>
      </c>
      <c r="C51" s="85" t="s">
        <v>53</v>
      </c>
      <c r="D51" s="111">
        <v>994</v>
      </c>
      <c r="E51" s="84">
        <f>1877-D51</f>
        <v>883</v>
      </c>
      <c r="F51" s="111">
        <f>2373-E51</f>
        <v>1490</v>
      </c>
      <c r="G51" s="84">
        <f>3318-F51</f>
        <v>1828</v>
      </c>
      <c r="H51" s="86">
        <f t="shared" si="0"/>
        <v>5195</v>
      </c>
    </row>
    <row r="52" spans="1:10" s="47" customFormat="1" ht="15">
      <c r="A52" s="82" t="s">
        <v>16</v>
      </c>
      <c r="B52" s="82" t="s">
        <v>16</v>
      </c>
      <c r="C52" s="85" t="s">
        <v>54</v>
      </c>
      <c r="D52" s="84">
        <v>28625</v>
      </c>
      <c r="E52" s="84">
        <f>53648.15-D52</f>
        <v>25023.15</v>
      </c>
      <c r="F52" s="84">
        <f>74162.49-E52</f>
        <v>49139.340000000004</v>
      </c>
      <c r="G52" s="84">
        <f>103331.25-F52</f>
        <v>54191.909999999996</v>
      </c>
      <c r="H52" s="86">
        <f t="shared" si="0"/>
        <v>156979.4</v>
      </c>
    </row>
    <row r="53" spans="1:10" s="47" customFormat="1" ht="15">
      <c r="A53" s="82" t="s">
        <v>16</v>
      </c>
      <c r="B53" s="82" t="s">
        <v>16</v>
      </c>
      <c r="C53" s="85" t="s">
        <v>55</v>
      </c>
      <c r="D53" s="111">
        <v>148817</v>
      </c>
      <c r="E53" s="111">
        <f>222416-D53</f>
        <v>73599</v>
      </c>
      <c r="F53" s="84">
        <f>266606-E53</f>
        <v>193007</v>
      </c>
      <c r="G53" s="84">
        <f>331277-F53</f>
        <v>138270</v>
      </c>
      <c r="H53" s="86">
        <f t="shared" si="0"/>
        <v>553693</v>
      </c>
    </row>
    <row r="54" spans="1:10" s="47" customFormat="1" ht="15">
      <c r="A54" s="82" t="s">
        <v>16</v>
      </c>
      <c r="B54" s="82" t="s">
        <v>16</v>
      </c>
      <c r="C54" s="85" t="s">
        <v>56</v>
      </c>
      <c r="D54" s="84">
        <v>216744</v>
      </c>
      <c r="E54" s="111">
        <f>299578-D54</f>
        <v>82834</v>
      </c>
      <c r="F54" s="84">
        <f>460505-E54</f>
        <v>377671</v>
      </c>
      <c r="G54" s="84">
        <f>549950-F54</f>
        <v>172279</v>
      </c>
      <c r="H54" s="86">
        <f t="shared" si="0"/>
        <v>849528</v>
      </c>
      <c r="I54" s="51"/>
    </row>
    <row r="55" spans="1:10" s="47" customFormat="1" ht="15">
      <c r="A55" s="82"/>
      <c r="B55" s="87">
        <v>0.05</v>
      </c>
      <c r="C55" s="85" t="s">
        <v>132</v>
      </c>
      <c r="D55" s="84">
        <v>752.4</v>
      </c>
      <c r="E55" s="111">
        <f>1595.46-D55</f>
        <v>843.06000000000006</v>
      </c>
      <c r="F55" s="84">
        <f>2064.02-E55</f>
        <v>1220.96</v>
      </c>
      <c r="G55" s="84">
        <f>3538.03-F55</f>
        <v>2317.0700000000002</v>
      </c>
      <c r="H55" s="86">
        <f>G55+F55+E55+D55</f>
        <v>5133.49</v>
      </c>
      <c r="I55" s="51"/>
    </row>
    <row r="56" spans="1:10" s="47" customFormat="1" ht="15">
      <c r="A56" s="87">
        <v>0.05</v>
      </c>
      <c r="B56" s="82" t="s">
        <v>16</v>
      </c>
      <c r="C56" s="85" t="s">
        <v>57</v>
      </c>
      <c r="D56" s="111">
        <v>93540</v>
      </c>
      <c r="E56" s="84">
        <f>183593-D56</f>
        <v>90053</v>
      </c>
      <c r="F56" s="84">
        <f>247323-E56</f>
        <v>157270</v>
      </c>
      <c r="G56" s="111">
        <f>330542-F56</f>
        <v>173272</v>
      </c>
      <c r="H56" s="86">
        <f t="shared" si="0"/>
        <v>514135</v>
      </c>
    </row>
    <row r="57" spans="1:10" s="47" customFormat="1" ht="15">
      <c r="A57" s="82" t="s">
        <v>16</v>
      </c>
      <c r="B57" s="96" t="s">
        <v>16</v>
      </c>
      <c r="C57" s="85" t="s">
        <v>58</v>
      </c>
      <c r="D57" s="84">
        <v>238494</v>
      </c>
      <c r="E57" s="84">
        <f>463520-D57</f>
        <v>225026</v>
      </c>
      <c r="F57" s="84">
        <f>656105-E57</f>
        <v>431079</v>
      </c>
      <c r="G57" s="84">
        <f>896640-F57</f>
        <v>465561</v>
      </c>
      <c r="H57" s="86">
        <f t="shared" si="0"/>
        <v>1360160</v>
      </c>
    </row>
    <row r="58" spans="1:10" s="47" customFormat="1" ht="15">
      <c r="A58" s="96" t="s">
        <v>16</v>
      </c>
      <c r="B58" s="82" t="s">
        <v>16</v>
      </c>
      <c r="C58" s="85" t="s">
        <v>59</v>
      </c>
      <c r="D58" s="84">
        <v>505990</v>
      </c>
      <c r="E58" s="84">
        <f>757748-D58</f>
        <v>251758</v>
      </c>
      <c r="F58" s="84">
        <f>1064800-E58</f>
        <v>813042</v>
      </c>
      <c r="G58" s="84">
        <f>1280035-F58</f>
        <v>466993</v>
      </c>
      <c r="H58" s="86">
        <f t="shared" si="0"/>
        <v>2037783</v>
      </c>
    </row>
    <row r="59" spans="1:10" s="47" customFormat="1" ht="15">
      <c r="A59" s="82" t="s">
        <v>16</v>
      </c>
      <c r="B59" s="87">
        <v>0.05</v>
      </c>
      <c r="C59" s="85" t="s">
        <v>60</v>
      </c>
      <c r="D59" s="111">
        <v>169515</v>
      </c>
      <c r="E59" s="84">
        <v>105754</v>
      </c>
      <c r="F59" s="84">
        <v>121409</v>
      </c>
      <c r="G59" s="84">
        <v>173576</v>
      </c>
      <c r="H59" s="86">
        <f t="shared" si="0"/>
        <v>570254</v>
      </c>
    </row>
    <row r="60" spans="1:10" s="47" customFormat="1" ht="15">
      <c r="A60" s="87">
        <v>0.04</v>
      </c>
      <c r="B60" s="87">
        <v>0.02</v>
      </c>
      <c r="C60" s="97" t="s">
        <v>79</v>
      </c>
      <c r="D60" s="111">
        <v>1602057</v>
      </c>
      <c r="E60" s="111">
        <f>2731028-D60</f>
        <v>1128971</v>
      </c>
      <c r="F60" s="111">
        <f>4177578-E60</f>
        <v>3048607</v>
      </c>
      <c r="G60" s="111">
        <f>5480915-F60</f>
        <v>2432308</v>
      </c>
      <c r="H60" s="140">
        <f t="shared" si="0"/>
        <v>8211943</v>
      </c>
      <c r="J60" s="47" t="s">
        <v>130</v>
      </c>
    </row>
    <row r="61" spans="1:10" s="47" customFormat="1" ht="15">
      <c r="A61" s="87">
        <v>0.03</v>
      </c>
      <c r="B61" s="87">
        <v>0.05</v>
      </c>
      <c r="C61" s="97" t="s">
        <v>146</v>
      </c>
      <c r="D61" s="111">
        <v>1201543</v>
      </c>
      <c r="E61" s="111">
        <f>2048271-D61</f>
        <v>846728</v>
      </c>
      <c r="F61" s="111">
        <v>1706335</v>
      </c>
      <c r="G61" s="111">
        <f>5946974-F61</f>
        <v>4240639</v>
      </c>
      <c r="H61" s="140">
        <f t="shared" si="0"/>
        <v>7995245</v>
      </c>
      <c r="J61" s="47" t="s">
        <v>131</v>
      </c>
    </row>
    <row r="62" spans="1:10" s="47" customFormat="1" ht="15">
      <c r="A62" s="87">
        <v>0.05</v>
      </c>
      <c r="B62" s="82" t="s">
        <v>16</v>
      </c>
      <c r="C62" s="85" t="s">
        <v>61</v>
      </c>
      <c r="D62" s="111">
        <v>126849.19</v>
      </c>
      <c r="E62" s="84">
        <f>233084.47-D62</f>
        <v>106235.28</v>
      </c>
      <c r="F62" s="111">
        <f>318308.51-E62</f>
        <v>212073.23</v>
      </c>
      <c r="G62" s="84">
        <f>440857.65-F62</f>
        <v>228784.42</v>
      </c>
      <c r="H62" s="86">
        <f t="shared" si="0"/>
        <v>673942.12</v>
      </c>
    </row>
    <row r="63" spans="1:10" s="47" customFormat="1" ht="15">
      <c r="A63" s="82" t="s">
        <v>16</v>
      </c>
      <c r="B63" s="87">
        <v>0.05</v>
      </c>
      <c r="C63" s="85" t="s">
        <v>62</v>
      </c>
      <c r="D63" s="84">
        <v>77652</v>
      </c>
      <c r="E63" s="84">
        <f>134655-D63</f>
        <v>57003</v>
      </c>
      <c r="F63" s="84">
        <f>179990-E63</f>
        <v>122987</v>
      </c>
      <c r="G63" s="84">
        <f>252208-F63</f>
        <v>129221</v>
      </c>
      <c r="H63" s="86">
        <f t="shared" si="0"/>
        <v>386863</v>
      </c>
    </row>
    <row r="64" spans="1:10" s="47" customFormat="1" ht="15">
      <c r="A64" s="87">
        <v>0.05</v>
      </c>
      <c r="B64" s="82" t="s">
        <v>22</v>
      </c>
      <c r="C64" s="85" t="s">
        <v>63</v>
      </c>
      <c r="D64" s="111">
        <v>82389</v>
      </c>
      <c r="E64" s="111">
        <f>178219-D64</f>
        <v>95830</v>
      </c>
      <c r="F64" s="111">
        <f>252295-E64</f>
        <v>156465</v>
      </c>
      <c r="G64" s="84">
        <f>346325-F64</f>
        <v>189860</v>
      </c>
      <c r="H64" s="86">
        <f t="shared" si="0"/>
        <v>524544</v>
      </c>
    </row>
    <row r="65" spans="1:12" s="47" customFormat="1" ht="15">
      <c r="A65" s="82" t="s">
        <v>22</v>
      </c>
      <c r="B65" s="87">
        <v>0.05</v>
      </c>
      <c r="C65" s="85" t="s">
        <v>64</v>
      </c>
      <c r="D65" s="111">
        <v>1650</v>
      </c>
      <c r="E65" s="111">
        <f>3118-D65</f>
        <v>1468</v>
      </c>
      <c r="F65" s="111">
        <f>4218-E65</f>
        <v>2750</v>
      </c>
      <c r="G65" s="111">
        <f>4387-F65</f>
        <v>1637</v>
      </c>
      <c r="H65" s="86">
        <f t="shared" si="0"/>
        <v>7505</v>
      </c>
    </row>
    <row r="66" spans="1:12" s="47" customFormat="1" ht="15">
      <c r="A66" s="87">
        <v>0.05</v>
      </c>
      <c r="B66" s="94" t="s">
        <v>16</v>
      </c>
      <c r="C66" s="85" t="s">
        <v>65</v>
      </c>
      <c r="D66" s="111">
        <v>335383</v>
      </c>
      <c r="E66" s="84">
        <f>540040-D66</f>
        <v>204657</v>
      </c>
      <c r="F66" s="84">
        <f>702626-E66</f>
        <v>497969</v>
      </c>
      <c r="G66" s="84">
        <f>893205-F66</f>
        <v>395236</v>
      </c>
      <c r="H66" s="86">
        <f t="shared" si="0"/>
        <v>1433245</v>
      </c>
    </row>
    <row r="67" spans="1:12" s="47" customFormat="1" ht="15">
      <c r="A67" s="94" t="s">
        <v>16</v>
      </c>
      <c r="B67" s="82" t="s">
        <v>16</v>
      </c>
      <c r="C67" s="85" t="s">
        <v>66</v>
      </c>
      <c r="D67" s="111">
        <v>17592</v>
      </c>
      <c r="E67" s="84">
        <f>49150-D67</f>
        <v>31558</v>
      </c>
      <c r="F67" s="84">
        <f>227338-E67</f>
        <v>195780</v>
      </c>
      <c r="G67" s="84">
        <f>311954-F67</f>
        <v>116174</v>
      </c>
      <c r="H67" s="86">
        <f t="shared" si="0"/>
        <v>361104</v>
      </c>
    </row>
    <row r="68" spans="1:12" s="47" customFormat="1" ht="15">
      <c r="A68" s="82" t="s">
        <v>16</v>
      </c>
      <c r="B68" s="82" t="s">
        <v>16</v>
      </c>
      <c r="C68" s="85" t="s">
        <v>67</v>
      </c>
      <c r="D68" s="111">
        <v>49824</v>
      </c>
      <c r="E68" s="111">
        <f>96175-D68</f>
        <v>46351</v>
      </c>
      <c r="F68" s="111">
        <f>137385-E68</f>
        <v>91034</v>
      </c>
      <c r="G68" s="111">
        <f>186952-F68</f>
        <v>95918</v>
      </c>
      <c r="H68" s="86">
        <f t="shared" si="0"/>
        <v>283127</v>
      </c>
      <c r="L68" s="47" t="s">
        <v>0</v>
      </c>
    </row>
    <row r="69" spans="1:12" s="47" customFormat="1" ht="15">
      <c r="A69" s="82" t="s">
        <v>16</v>
      </c>
      <c r="B69" s="94" t="s">
        <v>16</v>
      </c>
      <c r="C69" s="85" t="s">
        <v>68</v>
      </c>
      <c r="D69" s="111">
        <v>126690</v>
      </c>
      <c r="E69" s="111">
        <f>254108-D69</f>
        <v>127418</v>
      </c>
      <c r="F69" s="111">
        <f>378972-E69</f>
        <v>251554</v>
      </c>
      <c r="G69" s="111">
        <f>485544-F69</f>
        <v>233990</v>
      </c>
      <c r="H69" s="86">
        <f t="shared" si="0"/>
        <v>739652</v>
      </c>
      <c r="L69" s="47" t="s">
        <v>0</v>
      </c>
    </row>
    <row r="70" spans="1:12" s="47" customFormat="1" ht="15">
      <c r="A70" s="94" t="s">
        <v>16</v>
      </c>
      <c r="B70" s="82" t="s">
        <v>22</v>
      </c>
      <c r="C70" s="85" t="s">
        <v>82</v>
      </c>
      <c r="D70" s="111">
        <v>59556</v>
      </c>
      <c r="E70" s="111">
        <f>72792-D70</f>
        <v>13236</v>
      </c>
      <c r="F70" s="84">
        <f>84769-E70</f>
        <v>71533</v>
      </c>
      <c r="G70" s="111">
        <f>97903-F70</f>
        <v>26370</v>
      </c>
      <c r="H70" s="86">
        <f t="shared" si="0"/>
        <v>170695</v>
      </c>
    </row>
    <row r="71" spans="1:12" s="47" customFormat="1" ht="15">
      <c r="A71" s="82" t="s">
        <v>22</v>
      </c>
      <c r="B71" s="78"/>
      <c r="C71" s="85" t="s">
        <v>69</v>
      </c>
      <c r="D71" s="88">
        <v>704.48</v>
      </c>
      <c r="E71" s="111">
        <v>538.9</v>
      </c>
      <c r="F71" s="111">
        <v>491.46</v>
      </c>
      <c r="G71" s="111">
        <f>2424.71-F71</f>
        <v>1933.25</v>
      </c>
      <c r="H71" s="86">
        <f t="shared" si="0"/>
        <v>3668.09</v>
      </c>
    </row>
    <row r="72" spans="1:12" s="47" customFormat="1" ht="15.75" thickBot="1">
      <c r="A72" s="48"/>
      <c r="B72" s="78"/>
      <c r="C72" s="98" t="s">
        <v>70</v>
      </c>
      <c r="D72" s="98">
        <f>SUM(D8:D71)</f>
        <v>11423337.340000002</v>
      </c>
      <c r="E72" s="98">
        <f>SUM(E8:E71)</f>
        <v>9889155.2799999993</v>
      </c>
      <c r="F72" s="99">
        <f>SUM(F8:F71)</f>
        <v>17080603.330000002</v>
      </c>
      <c r="G72" s="98">
        <f>SUM(G8:G71)</f>
        <v>24370571.220000003</v>
      </c>
      <c r="H72" s="86">
        <f t="shared" si="0"/>
        <v>62763667.170000002</v>
      </c>
    </row>
    <row r="73" spans="1:12" s="47" customFormat="1" ht="15" thickTop="1">
      <c r="A73" s="52"/>
      <c r="H73" s="49">
        <f>D72+E72+F72+G72</f>
        <v>62763667.170000002</v>
      </c>
    </row>
    <row r="74" spans="1:12" s="47" customFormat="1" ht="15">
      <c r="A74" s="101" t="s">
        <v>0</v>
      </c>
      <c r="B74" s="72"/>
      <c r="H74" s="49"/>
    </row>
    <row r="75" spans="1:12" s="47" customFormat="1" ht="15">
      <c r="A75" s="101" t="s">
        <v>0</v>
      </c>
      <c r="B75" s="72"/>
      <c r="C75" s="72"/>
      <c r="H75" s="49"/>
    </row>
    <row r="76" spans="1:12" s="47" customFormat="1" ht="15">
      <c r="A76" s="101" t="s">
        <v>0</v>
      </c>
      <c r="B76" s="72"/>
      <c r="C76" s="72"/>
      <c r="H76" s="49"/>
    </row>
    <row r="77" spans="1:12" s="47" customFormat="1" ht="15">
      <c r="A77" s="101"/>
      <c r="B77" s="72"/>
      <c r="C77" s="72"/>
      <c r="H77" s="49"/>
    </row>
    <row r="78" spans="1:12" s="47" customFormat="1" ht="15">
      <c r="A78" s="101"/>
      <c r="B78" s="72"/>
      <c r="C78" s="72"/>
      <c r="H78" s="49"/>
    </row>
    <row r="79" spans="1:12" s="47" customFormat="1" ht="15">
      <c r="A79" s="53"/>
      <c r="B79" s="53"/>
      <c r="C79" s="53"/>
      <c r="D79" s="53"/>
      <c r="E79" s="53"/>
      <c r="F79" s="53"/>
      <c r="G79" s="53"/>
      <c r="H79" s="54"/>
    </row>
    <row r="90" spans="1:8" ht="15">
      <c r="A90" s="72"/>
      <c r="B90" s="72"/>
      <c r="C90" s="72"/>
      <c r="D90" s="72"/>
      <c r="E90" s="72"/>
      <c r="F90" s="72"/>
      <c r="G90" s="72"/>
      <c r="H90" s="72"/>
    </row>
    <row r="91" spans="1:8" ht="15">
      <c r="A91" s="72"/>
      <c r="B91" s="72"/>
      <c r="C91" s="72"/>
      <c r="D91" s="72"/>
      <c r="E91" s="72"/>
      <c r="F91" s="72"/>
      <c r="G91" s="72"/>
      <c r="H91" s="72"/>
    </row>
    <row r="92" spans="1:8" ht="15">
      <c r="A92" s="72"/>
      <c r="B92" s="72"/>
      <c r="C92" s="72"/>
      <c r="D92" s="72"/>
      <c r="E92" s="72"/>
      <c r="F92" s="72"/>
      <c r="G92" s="72"/>
      <c r="H92" s="72"/>
    </row>
    <row r="93" spans="1:8" ht="15">
      <c r="A93" s="72"/>
      <c r="B93" s="72"/>
      <c r="C93" s="72"/>
      <c r="D93" s="72"/>
      <c r="E93" s="72"/>
      <c r="F93" s="72"/>
      <c r="G93" s="72"/>
      <c r="H93" s="72"/>
    </row>
    <row r="94" spans="1:8" ht="15">
      <c r="A94" s="72"/>
      <c r="B94" s="72"/>
      <c r="C94" s="72"/>
      <c r="D94" s="72"/>
      <c r="E94" s="72"/>
      <c r="F94" s="72"/>
      <c r="G94" s="72"/>
      <c r="H94" s="72"/>
    </row>
    <row r="95" spans="1:8" ht="15">
      <c r="A95" s="72"/>
      <c r="B95" s="72"/>
      <c r="C95" s="72"/>
      <c r="D95" s="72"/>
      <c r="E95" s="72"/>
      <c r="F95" s="72"/>
      <c r="G95" s="72"/>
      <c r="H95" s="72"/>
    </row>
    <row r="96" spans="1:8" ht="15">
      <c r="A96" s="72"/>
      <c r="B96" s="72"/>
      <c r="C96" s="72"/>
      <c r="D96" s="72"/>
      <c r="E96" s="72"/>
      <c r="F96" s="72"/>
      <c r="G96" s="72"/>
      <c r="H96" s="72"/>
    </row>
    <row r="97" spans="1:8" ht="15">
      <c r="A97" s="72"/>
      <c r="B97" s="72"/>
      <c r="C97" s="72"/>
      <c r="D97" s="72"/>
      <c r="E97" s="72"/>
      <c r="F97" s="72"/>
      <c r="G97" s="72"/>
      <c r="H97" s="72"/>
    </row>
    <row r="98" spans="1:8" ht="15">
      <c r="A98" s="72"/>
      <c r="B98" s="72"/>
      <c r="C98" s="72"/>
      <c r="D98" s="72"/>
      <c r="E98" s="72"/>
      <c r="F98" s="72"/>
      <c r="G98" s="72"/>
      <c r="H98" s="72"/>
    </row>
    <row r="99" spans="1:8" ht="15">
      <c r="A99" s="72"/>
      <c r="B99" s="72"/>
      <c r="C99" s="72"/>
      <c r="D99" s="72"/>
      <c r="E99" s="72"/>
      <c r="F99" s="72"/>
      <c r="G99" s="72"/>
      <c r="H99" s="72"/>
    </row>
    <row r="100" spans="1:8" ht="15">
      <c r="A100" s="72"/>
      <c r="B100" s="72"/>
      <c r="C100" s="72"/>
      <c r="D100" s="72"/>
      <c r="E100" s="72"/>
      <c r="F100" s="72"/>
      <c r="G100" s="72"/>
      <c r="H100" s="72"/>
    </row>
    <row r="101" spans="1:8" ht="15">
      <c r="A101" s="72"/>
      <c r="B101" s="72"/>
      <c r="C101" s="72"/>
      <c r="D101" s="72"/>
      <c r="E101" s="72"/>
      <c r="F101" s="72"/>
      <c r="G101" s="72"/>
      <c r="H101" s="72"/>
    </row>
    <row r="102" spans="1:8" ht="15">
      <c r="A102" s="72"/>
      <c r="B102" s="72"/>
      <c r="C102" s="72"/>
      <c r="D102" s="72"/>
      <c r="E102" s="72"/>
      <c r="F102" s="72"/>
      <c r="G102" s="72"/>
      <c r="H102" s="72"/>
    </row>
    <row r="103" spans="1:8" ht="15">
      <c r="A103" s="72"/>
      <c r="B103" s="72"/>
      <c r="C103" s="72"/>
      <c r="D103" s="72"/>
      <c r="E103" s="72"/>
      <c r="F103" s="72"/>
      <c r="G103" s="72"/>
      <c r="H103" s="72"/>
    </row>
    <row r="104" spans="1:8" ht="15">
      <c r="A104" s="72"/>
      <c r="B104" s="72"/>
      <c r="C104" s="72"/>
      <c r="D104" s="72"/>
      <c r="E104" s="72"/>
      <c r="F104" s="72"/>
      <c r="G104" s="72"/>
      <c r="H104" s="72"/>
    </row>
    <row r="105" spans="1:8" ht="15">
      <c r="A105" s="72"/>
      <c r="B105" s="72"/>
      <c r="C105" s="72"/>
      <c r="D105" s="72"/>
      <c r="E105" s="72"/>
      <c r="F105" s="72"/>
      <c r="G105" s="72"/>
      <c r="H105" s="72"/>
    </row>
    <row r="106" spans="1:8" ht="15">
      <c r="A106" s="72"/>
      <c r="B106" s="72"/>
      <c r="C106" s="72"/>
      <c r="D106" s="72"/>
      <c r="E106" s="72"/>
      <c r="F106" s="72"/>
      <c r="G106" s="72"/>
      <c r="H106" s="72"/>
    </row>
    <row r="107" spans="1:8" ht="15">
      <c r="A107" s="72"/>
      <c r="B107" s="72"/>
      <c r="C107" s="72"/>
      <c r="D107" s="72"/>
      <c r="E107" s="72"/>
      <c r="F107" s="72"/>
      <c r="G107" s="72"/>
      <c r="H107" s="72"/>
    </row>
    <row r="108" spans="1:8" ht="15">
      <c r="A108" s="72"/>
      <c r="B108" s="72"/>
      <c r="C108" s="72"/>
      <c r="D108" s="72"/>
      <c r="E108" s="72"/>
      <c r="F108" s="72"/>
      <c r="G108" s="72"/>
      <c r="H108" s="72"/>
    </row>
    <row r="109" spans="1:8" ht="15">
      <c r="A109" s="72"/>
      <c r="B109" s="72"/>
      <c r="C109" s="72"/>
      <c r="D109" s="72"/>
      <c r="E109" s="72"/>
      <c r="F109" s="72"/>
      <c r="G109" s="72"/>
      <c r="H109" s="72"/>
    </row>
    <row r="110" spans="1:8" ht="15">
      <c r="A110" s="72"/>
      <c r="B110" s="72"/>
      <c r="C110" s="72"/>
      <c r="D110" s="72"/>
      <c r="E110" s="72"/>
      <c r="F110" s="72"/>
      <c r="G110" s="72"/>
      <c r="H110" s="72"/>
    </row>
    <row r="111" spans="1:8" ht="15">
      <c r="A111" s="72"/>
      <c r="B111" s="72"/>
      <c r="C111" s="72"/>
      <c r="D111" s="72"/>
      <c r="E111" s="72"/>
      <c r="F111" s="72"/>
      <c r="G111" s="72"/>
      <c r="H111" s="72"/>
    </row>
    <row r="112" spans="1:8" ht="15">
      <c r="A112" s="72"/>
      <c r="B112" s="72"/>
      <c r="C112" s="72"/>
      <c r="D112" s="72"/>
      <c r="E112" s="72"/>
      <c r="F112" s="72"/>
      <c r="G112" s="72"/>
      <c r="H112" s="72"/>
    </row>
    <row r="113" spans="1:8" ht="15">
      <c r="A113" s="72"/>
      <c r="B113" s="72"/>
      <c r="C113" s="72"/>
      <c r="D113" s="72"/>
      <c r="E113" s="72"/>
      <c r="F113" s="72"/>
      <c r="G113" s="72"/>
      <c r="H113" s="72"/>
    </row>
    <row r="114" spans="1:8" ht="15">
      <c r="A114" s="72"/>
      <c r="B114" s="72"/>
      <c r="C114" s="72"/>
      <c r="D114" s="72"/>
      <c r="E114" s="72"/>
      <c r="F114" s="72"/>
      <c r="G114" s="72"/>
      <c r="H114" s="72"/>
    </row>
    <row r="115" spans="1:8" ht="15">
      <c r="A115" s="72"/>
      <c r="B115" s="72"/>
      <c r="C115" s="72"/>
      <c r="D115" s="72"/>
      <c r="E115" s="72"/>
      <c r="F115" s="72"/>
      <c r="G115" s="72"/>
      <c r="H115" s="72"/>
    </row>
    <row r="116" spans="1:8" ht="15">
      <c r="A116" s="72"/>
      <c r="B116" s="72"/>
      <c r="C116" s="72"/>
      <c r="D116" s="72"/>
      <c r="E116" s="72"/>
      <c r="F116" s="72"/>
      <c r="G116" s="72"/>
      <c r="H116" s="72"/>
    </row>
    <row r="117" spans="1:8" ht="15">
      <c r="A117" s="72"/>
      <c r="B117" s="72"/>
      <c r="C117" s="72"/>
      <c r="D117" s="72"/>
      <c r="E117" s="72"/>
      <c r="F117" s="72"/>
      <c r="G117" s="72"/>
      <c r="H117" s="72"/>
    </row>
    <row r="118" spans="1:8" ht="15">
      <c r="A118" s="72"/>
      <c r="B118" s="72"/>
      <c r="C118" s="72"/>
      <c r="D118" s="72"/>
      <c r="E118" s="72"/>
      <c r="F118" s="72"/>
      <c r="G118" s="72"/>
      <c r="H118" s="72"/>
    </row>
    <row r="119" spans="1:8" ht="15">
      <c r="C119" s="102"/>
      <c r="D119" s="102"/>
      <c r="E119" s="102"/>
      <c r="F119" s="102"/>
      <c r="G119" s="102"/>
      <c r="H119" s="102"/>
    </row>
    <row r="121" spans="1:8" ht="15">
      <c r="A121" s="102"/>
      <c r="B121" s="102"/>
    </row>
    <row r="122" spans="1:8" ht="15">
      <c r="A122" s="102"/>
      <c r="B122" s="102"/>
      <c r="C122" s="102"/>
    </row>
    <row r="123" spans="1:8" ht="15">
      <c r="A123" s="102"/>
      <c r="B123" s="102"/>
      <c r="C123" s="102"/>
    </row>
    <row r="124" spans="1:8" ht="15">
      <c r="A124" s="102"/>
      <c r="B124" s="102"/>
      <c r="C124" s="102"/>
    </row>
    <row r="178" spans="1:8" ht="15">
      <c r="A178" s="72"/>
      <c r="B178" s="72"/>
      <c r="C178" s="72"/>
      <c r="D178" s="72"/>
      <c r="E178" s="72"/>
      <c r="F178" s="72"/>
      <c r="G178" s="72"/>
      <c r="H178" s="72"/>
    </row>
    <row r="179" spans="1:8" ht="15">
      <c r="A179" s="72"/>
      <c r="B179" s="72"/>
      <c r="C179" s="72"/>
      <c r="D179" s="72"/>
      <c r="E179" s="72"/>
      <c r="F179" s="72"/>
      <c r="G179" s="72"/>
      <c r="H179" s="72"/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tabColor theme="8" tint="0.79998168889431442"/>
  </sheetPr>
  <dimension ref="A1:I37"/>
  <sheetViews>
    <sheetView workbookViewId="0">
      <selection activeCell="E1" sqref="E1:E1048576"/>
    </sheetView>
  </sheetViews>
  <sheetFormatPr defaultRowHeight="15"/>
  <cols>
    <col min="4" max="4" width="11.21875" customWidth="1"/>
    <col min="5" max="5" width="9.5546875" customWidth="1"/>
    <col min="6" max="6" width="9.5546875" bestFit="1" customWidth="1"/>
    <col min="7" max="7" width="8.44140625" bestFit="1" customWidth="1"/>
    <col min="8" max="8" width="9.21875" bestFit="1" customWidth="1"/>
    <col min="9" max="9" width="12.6640625" bestFit="1" customWidth="1"/>
  </cols>
  <sheetData>
    <row r="1" spans="1:9">
      <c r="A1" s="1" t="s">
        <v>83</v>
      </c>
      <c r="B1" s="2"/>
      <c r="C1" s="2"/>
      <c r="D1" s="2"/>
      <c r="E1" s="2" t="s">
        <v>84</v>
      </c>
      <c r="F1" s="2"/>
    </row>
    <row r="2" spans="1:9">
      <c r="A2" s="5" t="s">
        <v>85</v>
      </c>
      <c r="B2" s="4"/>
      <c r="C2" s="4"/>
      <c r="D2" s="4"/>
      <c r="E2" s="4" t="s">
        <v>112</v>
      </c>
      <c r="F2" s="4"/>
    </row>
    <row r="3" spans="1:9">
      <c r="A3" s="5" t="s">
        <v>86</v>
      </c>
      <c r="B3" s="4"/>
      <c r="C3" s="4"/>
      <c r="D3" s="4"/>
      <c r="E3" s="4" t="s">
        <v>125</v>
      </c>
      <c r="F3" s="4"/>
    </row>
    <row r="4" spans="1:9">
      <c r="A4" s="7"/>
      <c r="B4" s="8"/>
      <c r="C4" s="8"/>
      <c r="D4" s="8"/>
      <c r="E4" s="56"/>
      <c r="F4" s="56"/>
      <c r="G4" s="56"/>
      <c r="H4" s="56"/>
      <c r="I4" s="56"/>
    </row>
    <row r="5" spans="1:9">
      <c r="A5" s="10"/>
      <c r="B5" s="11"/>
      <c r="C5" s="11"/>
      <c r="D5" s="11"/>
      <c r="E5" s="57" t="s">
        <v>87</v>
      </c>
      <c r="F5" s="57" t="s">
        <v>88</v>
      </c>
      <c r="G5" s="57" t="s">
        <v>89</v>
      </c>
      <c r="H5" s="57" t="s">
        <v>90</v>
      </c>
      <c r="I5" s="119"/>
    </row>
    <row r="6" spans="1:9">
      <c r="A6" s="10"/>
      <c r="B6" s="11"/>
      <c r="C6" s="11"/>
      <c r="D6" s="11"/>
      <c r="E6" s="116" t="s">
        <v>73</v>
      </c>
      <c r="F6" s="57" t="s">
        <v>73</v>
      </c>
      <c r="G6" s="57" t="s">
        <v>73</v>
      </c>
      <c r="H6" s="57" t="s">
        <v>73</v>
      </c>
      <c r="I6" s="57" t="s">
        <v>9</v>
      </c>
    </row>
    <row r="7" spans="1:9">
      <c r="A7" s="10"/>
      <c r="B7" s="11"/>
      <c r="C7" s="11" t="s">
        <v>91</v>
      </c>
      <c r="D7" s="11"/>
      <c r="E7" s="125" t="s">
        <v>92</v>
      </c>
      <c r="F7" s="125" t="s">
        <v>93</v>
      </c>
      <c r="G7" s="125" t="s">
        <v>94</v>
      </c>
      <c r="H7" s="125" t="s">
        <v>95</v>
      </c>
      <c r="I7" s="125" t="s">
        <v>15</v>
      </c>
    </row>
    <row r="8" spans="1:9">
      <c r="A8" s="1"/>
      <c r="B8" s="2"/>
      <c r="C8" s="2"/>
      <c r="D8" s="2"/>
      <c r="E8" s="117"/>
      <c r="F8" s="117"/>
      <c r="G8" s="117"/>
      <c r="H8" s="117"/>
      <c r="I8" s="117"/>
    </row>
    <row r="9" spans="1:9" ht="16.5">
      <c r="A9" s="17" t="s">
        <v>16</v>
      </c>
      <c r="B9" s="18"/>
      <c r="C9" s="18" t="s">
        <v>96</v>
      </c>
      <c r="D9" s="18"/>
      <c r="E9" s="133">
        <v>19804</v>
      </c>
      <c r="F9" s="118">
        <f>27156-E9</f>
        <v>7352</v>
      </c>
      <c r="G9" s="118">
        <f>31574-F9-E9</f>
        <v>4418</v>
      </c>
      <c r="H9" s="118">
        <f>45514-G9-F9-E9</f>
        <v>13940</v>
      </c>
      <c r="I9" s="118">
        <f t="shared" ref="I9:I21" si="0">E9+F9+G9</f>
        <v>31574</v>
      </c>
    </row>
    <row r="10" spans="1:9" ht="16.5">
      <c r="A10" s="123"/>
      <c r="B10" s="21"/>
      <c r="C10" s="21" t="s">
        <v>0</v>
      </c>
      <c r="D10" s="21"/>
      <c r="E10" s="117"/>
      <c r="F10" s="117"/>
      <c r="G10" s="117"/>
      <c r="H10" s="117"/>
      <c r="I10" s="118" t="s">
        <v>0</v>
      </c>
    </row>
    <row r="11" spans="1:9" ht="16.5">
      <c r="A11" s="23">
        <v>0.05</v>
      </c>
      <c r="B11" s="18"/>
      <c r="C11" s="18" t="s">
        <v>97</v>
      </c>
      <c r="D11" s="18"/>
      <c r="E11" s="118">
        <v>20840</v>
      </c>
      <c r="F11" s="133">
        <f>36612-E11</f>
        <v>15772</v>
      </c>
      <c r="G11" s="118">
        <f>48637-F11-E11</f>
        <v>12025</v>
      </c>
      <c r="H11" s="133">
        <f>69439-G11-F11-E11</f>
        <v>20802</v>
      </c>
      <c r="I11" s="118">
        <f t="shared" si="0"/>
        <v>48637</v>
      </c>
    </row>
    <row r="12" spans="1:9" ht="16.5">
      <c r="A12" s="123"/>
      <c r="B12" s="21"/>
      <c r="C12" s="21" t="s">
        <v>0</v>
      </c>
      <c r="D12" s="21"/>
      <c r="E12" s="127"/>
      <c r="F12" s="127"/>
      <c r="G12" s="127"/>
      <c r="H12" s="127"/>
      <c r="I12" s="118" t="s">
        <v>0</v>
      </c>
    </row>
    <row r="13" spans="1:9" ht="16.5">
      <c r="A13" s="23">
        <v>0.04</v>
      </c>
      <c r="B13" s="18"/>
      <c r="C13" s="18" t="s">
        <v>98</v>
      </c>
      <c r="D13" s="18"/>
      <c r="E13" s="118">
        <v>61330</v>
      </c>
      <c r="F13" s="118">
        <v>30190</v>
      </c>
      <c r="G13" s="118">
        <v>40337</v>
      </c>
      <c r="H13" s="118">
        <f>50142</f>
        <v>50142</v>
      </c>
      <c r="I13" s="118">
        <f t="shared" si="0"/>
        <v>131857</v>
      </c>
    </row>
    <row r="14" spans="1:9" ht="16.5">
      <c r="A14" s="123"/>
      <c r="B14" s="21"/>
      <c r="C14" s="21" t="s">
        <v>0</v>
      </c>
      <c r="D14" s="21"/>
      <c r="E14" s="117"/>
      <c r="F14" s="117"/>
      <c r="G14" s="117"/>
      <c r="H14" s="117"/>
      <c r="I14" s="118" t="s">
        <v>0</v>
      </c>
    </row>
    <row r="15" spans="1:9" ht="16.5">
      <c r="A15" s="124">
        <v>0.05</v>
      </c>
      <c r="B15" s="39"/>
      <c r="C15" s="43" t="s">
        <v>47</v>
      </c>
      <c r="D15" s="39"/>
      <c r="E15" s="118">
        <v>78634.740000000005</v>
      </c>
      <c r="F15" s="118">
        <f>120847.81-E15</f>
        <v>42213.069999999992</v>
      </c>
      <c r="G15" s="118">
        <f>155907.21-F15-E15</f>
        <v>35059.399999999994</v>
      </c>
      <c r="H15" s="118">
        <f>201330.9-G15-F15-E15</f>
        <v>45423.69</v>
      </c>
      <c r="I15" s="118">
        <f t="shared" si="0"/>
        <v>155907.21</v>
      </c>
    </row>
    <row r="16" spans="1:9" ht="16.5">
      <c r="A16" s="123"/>
      <c r="B16" s="21"/>
      <c r="C16" s="21"/>
      <c r="D16" s="21"/>
      <c r="E16" s="117"/>
      <c r="F16" s="117"/>
      <c r="G16" s="117"/>
      <c r="H16" s="117"/>
      <c r="I16" s="118" t="s">
        <v>0</v>
      </c>
    </row>
    <row r="17" spans="1:9" ht="16.5">
      <c r="A17" s="17" t="s">
        <v>22</v>
      </c>
      <c r="B17" s="18"/>
      <c r="C17" s="18" t="s">
        <v>99</v>
      </c>
      <c r="D17" s="120" t="s">
        <v>0</v>
      </c>
      <c r="E17" s="133">
        <v>247.12</v>
      </c>
      <c r="F17" s="133">
        <f>702.27-E17</f>
        <v>455.15</v>
      </c>
      <c r="G17" s="118">
        <f>1946-F17</f>
        <v>1490.85</v>
      </c>
      <c r="H17" s="118">
        <v>596</v>
      </c>
      <c r="I17" s="118">
        <f t="shared" si="0"/>
        <v>2193.12</v>
      </c>
    </row>
    <row r="18" spans="1:9" ht="16.5">
      <c r="A18" s="123"/>
      <c r="B18" s="21"/>
      <c r="C18" s="21" t="s">
        <v>0</v>
      </c>
      <c r="D18" s="21"/>
      <c r="E18" s="117"/>
      <c r="F18" s="117"/>
      <c r="G18" s="117"/>
      <c r="H18" s="117"/>
      <c r="I18" s="118" t="s">
        <v>0</v>
      </c>
    </row>
    <row r="19" spans="1:9" ht="16.5">
      <c r="A19" s="23">
        <v>0.03</v>
      </c>
      <c r="B19" s="18"/>
      <c r="C19" s="18" t="s">
        <v>101</v>
      </c>
      <c r="D19" s="18"/>
      <c r="E19" s="118">
        <v>20696</v>
      </c>
      <c r="F19" s="133">
        <f>46030-E19</f>
        <v>25334</v>
      </c>
      <c r="G19" s="118">
        <f>50192-F19-E19</f>
        <v>4162</v>
      </c>
      <c r="H19" s="118">
        <f>58337-G19-F19-E19</f>
        <v>8145</v>
      </c>
      <c r="I19" s="118">
        <f t="shared" si="0"/>
        <v>50192</v>
      </c>
    </row>
    <row r="20" spans="1:9" ht="16.5">
      <c r="A20" s="123"/>
      <c r="B20" s="21"/>
      <c r="C20" s="21"/>
      <c r="D20" s="21"/>
      <c r="E20" s="117"/>
      <c r="F20" s="117"/>
      <c r="G20" s="117"/>
      <c r="H20" s="117"/>
      <c r="I20" s="118" t="s">
        <v>0</v>
      </c>
    </row>
    <row r="21" spans="1:9" ht="16.5">
      <c r="A21" s="23">
        <v>0.05</v>
      </c>
      <c r="B21" s="18"/>
      <c r="C21" s="18" t="s">
        <v>102</v>
      </c>
      <c r="D21" s="18"/>
      <c r="E21" s="118">
        <v>5591.84</v>
      </c>
      <c r="F21" s="133">
        <f>9302.37-E21</f>
        <v>3710.5300000000007</v>
      </c>
      <c r="G21" s="118">
        <f>10654-F21-E21</f>
        <v>1351.6299999999992</v>
      </c>
      <c r="H21" s="118">
        <f>14652.12-G21-F21-E21</f>
        <v>3998.1200000000008</v>
      </c>
      <c r="I21" s="118">
        <f t="shared" si="0"/>
        <v>10654</v>
      </c>
    </row>
    <row r="22" spans="1:9" ht="16.5">
      <c r="A22" s="123"/>
      <c r="B22" s="21"/>
      <c r="C22" s="21"/>
      <c r="D22" s="21"/>
      <c r="E22" s="117"/>
      <c r="F22" s="117"/>
      <c r="G22" s="117"/>
      <c r="H22" s="117"/>
      <c r="I22" s="117" t="s">
        <v>0</v>
      </c>
    </row>
    <row r="23" spans="1:9" ht="16.5">
      <c r="A23" s="23">
        <v>0.05</v>
      </c>
      <c r="B23" s="18"/>
      <c r="C23" s="18" t="s">
        <v>103</v>
      </c>
      <c r="D23" s="18"/>
      <c r="E23" s="118">
        <v>18754</v>
      </c>
      <c r="F23" s="118">
        <f>25778-E23</f>
        <v>7024</v>
      </c>
      <c r="G23" s="118">
        <f>28005-F23-E23</f>
        <v>2227</v>
      </c>
      <c r="H23" s="118">
        <f>31746-G23-F23-E23</f>
        <v>3741</v>
      </c>
      <c r="I23" s="118">
        <f>E23+F23+G23</f>
        <v>28005</v>
      </c>
    </row>
    <row r="24" spans="1:9" ht="16.5">
      <c r="A24" s="123"/>
      <c r="B24" s="21"/>
      <c r="C24" s="21" t="s">
        <v>0</v>
      </c>
      <c r="D24" s="21"/>
      <c r="E24" s="117"/>
      <c r="F24" s="117"/>
      <c r="G24" s="117"/>
      <c r="H24" s="117"/>
      <c r="I24" s="117"/>
    </row>
    <row r="25" spans="1:9" ht="16.5">
      <c r="A25" s="23">
        <v>0.04</v>
      </c>
      <c r="B25" s="18"/>
      <c r="C25" s="18" t="s">
        <v>104</v>
      </c>
      <c r="D25" s="18"/>
      <c r="E25" s="118">
        <v>161953</v>
      </c>
      <c r="F25" s="118">
        <f>276855-E25</f>
        <v>114902</v>
      </c>
      <c r="G25" s="118">
        <f>329626-F25-E25</f>
        <v>52771</v>
      </c>
      <c r="H25" s="118">
        <f>424786-G25-F25-E25</f>
        <v>95160</v>
      </c>
      <c r="I25" s="118">
        <f t="shared" ref="I25:I31" si="1">E25+F25+G25</f>
        <v>329626</v>
      </c>
    </row>
    <row r="26" spans="1:9" ht="16.5">
      <c r="A26" s="123"/>
      <c r="B26" s="21"/>
      <c r="C26" s="21" t="s">
        <v>0</v>
      </c>
      <c r="D26" s="21"/>
      <c r="E26" s="117"/>
      <c r="F26" s="117"/>
      <c r="G26" s="117"/>
      <c r="H26" s="117"/>
      <c r="I26" s="118" t="s">
        <v>0</v>
      </c>
    </row>
    <row r="27" spans="1:9" ht="16.5">
      <c r="A27" s="17" t="s">
        <v>22</v>
      </c>
      <c r="B27" s="18"/>
      <c r="C27" s="18" t="s">
        <v>105</v>
      </c>
      <c r="D27" s="18"/>
      <c r="E27" s="118">
        <v>1028</v>
      </c>
      <c r="F27" s="133">
        <f>3079-E27</f>
        <v>2051</v>
      </c>
      <c r="G27" s="118">
        <f>3709-F27-E27</f>
        <v>630</v>
      </c>
      <c r="H27" s="118">
        <f>4628-G27-F27-E27</f>
        <v>919</v>
      </c>
      <c r="I27" s="118">
        <f t="shared" si="1"/>
        <v>3709</v>
      </c>
    </row>
    <row r="28" spans="1:9" ht="16.5">
      <c r="A28" s="123"/>
      <c r="B28" s="21"/>
      <c r="C28" s="21"/>
      <c r="D28" s="21"/>
      <c r="E28" s="117"/>
      <c r="F28" s="117"/>
      <c r="G28" s="117"/>
      <c r="H28" s="117"/>
      <c r="I28" s="118" t="s">
        <v>0</v>
      </c>
    </row>
    <row r="29" spans="1:9" ht="16.5">
      <c r="A29" s="23">
        <v>0.03</v>
      </c>
      <c r="B29" s="18"/>
      <c r="C29" s="18" t="s">
        <v>134</v>
      </c>
      <c r="D29" s="18"/>
      <c r="E29" s="118">
        <v>272</v>
      </c>
      <c r="F29" s="118">
        <f>1063-E29</f>
        <v>791</v>
      </c>
      <c r="G29" s="133">
        <f>2178-F29-E29</f>
        <v>1115</v>
      </c>
      <c r="H29" s="118">
        <f>2509-G29-F29-E29</f>
        <v>331</v>
      </c>
      <c r="I29" s="118">
        <f t="shared" si="1"/>
        <v>2178</v>
      </c>
    </row>
    <row r="30" spans="1:9" ht="16.5">
      <c r="A30" s="123"/>
      <c r="B30" s="21"/>
      <c r="C30" s="21" t="s">
        <v>0</v>
      </c>
      <c r="D30" s="21"/>
      <c r="E30" s="117"/>
      <c r="F30" s="117"/>
      <c r="G30" s="117"/>
      <c r="H30" s="117"/>
      <c r="I30" s="118" t="s">
        <v>0</v>
      </c>
    </row>
    <row r="31" spans="1:9" ht="16.5">
      <c r="A31" s="23">
        <v>0.05</v>
      </c>
      <c r="B31" s="18"/>
      <c r="C31" s="18" t="s">
        <v>65</v>
      </c>
      <c r="D31" s="121"/>
      <c r="E31" s="118">
        <v>90883</v>
      </c>
      <c r="F31" s="118">
        <f>158443-E31</f>
        <v>67560</v>
      </c>
      <c r="G31" s="118">
        <f>207530-F31-E31</f>
        <v>49087</v>
      </c>
      <c r="H31" s="118">
        <f>277997-G31-F31-E31</f>
        <v>70467</v>
      </c>
      <c r="I31" s="118">
        <f t="shared" si="1"/>
        <v>207530</v>
      </c>
    </row>
    <row r="32" spans="1:9" ht="16.5">
      <c r="A32" s="20"/>
      <c r="B32" s="21"/>
      <c r="C32" s="21"/>
      <c r="D32" s="21"/>
      <c r="E32" s="117"/>
      <c r="F32" s="117"/>
      <c r="G32" s="117"/>
      <c r="H32" s="117"/>
      <c r="I32" s="117"/>
    </row>
    <row r="33" spans="1:9" ht="17.25" thickBot="1">
      <c r="A33" s="27"/>
      <c r="B33" s="28"/>
      <c r="C33" s="28" t="s">
        <v>106</v>
      </c>
      <c r="D33" s="28"/>
      <c r="E33" s="118">
        <f>SUM(E9:E32)</f>
        <v>480033.69999999995</v>
      </c>
      <c r="F33" s="118">
        <f>SUM(F9:F32)</f>
        <v>317354.75</v>
      </c>
      <c r="G33" s="118">
        <f>SUM(G9:G32)</f>
        <v>204673.88</v>
      </c>
      <c r="H33" s="118">
        <f>SUM(H9:H32)</f>
        <v>313664.81</v>
      </c>
      <c r="I33" s="118">
        <f>SUM(I9:I32)</f>
        <v>1002062.33</v>
      </c>
    </row>
    <row r="34" spans="1:9" ht="15.75" thickTop="1">
      <c r="A34" s="5"/>
      <c r="B34" s="4"/>
      <c r="C34" s="4"/>
      <c r="D34" s="4"/>
      <c r="I34">
        <f>E33+F33+G33+H33</f>
        <v>1315727.1399999999</v>
      </c>
    </row>
    <row r="35" spans="1:9" ht="15.75">
      <c r="A35" s="31" t="s">
        <v>0</v>
      </c>
      <c r="B35" s="32"/>
      <c r="C35" s="4" t="s">
        <v>0</v>
      </c>
      <c r="D35" s="4"/>
    </row>
    <row r="36" spans="1:9" ht="15.75">
      <c r="A36" s="33"/>
      <c r="B36" s="4"/>
      <c r="C36" s="4"/>
      <c r="D36" s="4"/>
    </row>
    <row r="37" spans="1:9">
      <c r="A37" s="122"/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tabColor theme="6" tint="0.79998168889431442"/>
  </sheetPr>
  <dimension ref="A1:I79"/>
  <sheetViews>
    <sheetView workbookViewId="0">
      <pane xSplit="2" ySplit="7" topLeftCell="C24" activePane="bottomRight" state="frozen"/>
      <selection pane="topRight" activeCell="C1" sqref="C1"/>
      <selection pane="bottomLeft" activeCell="A8" sqref="A8"/>
      <selection pane="bottomRight" activeCell="A78" sqref="A78:A79"/>
    </sheetView>
  </sheetViews>
  <sheetFormatPr defaultRowHeight="15"/>
  <cols>
    <col min="2" max="2" width="27.5546875" bestFit="1" customWidth="1"/>
    <col min="3" max="3" width="10.88671875" customWidth="1"/>
    <col min="4" max="4" width="11.5546875" customWidth="1"/>
    <col min="5" max="6" width="10.5546875" bestFit="1" customWidth="1"/>
    <col min="7" max="7" width="13.88671875" bestFit="1" customWidth="1"/>
  </cols>
  <sheetData>
    <row r="1" spans="1:7">
      <c r="A1" s="45" t="s">
        <v>0</v>
      </c>
      <c r="B1" s="46"/>
      <c r="C1" s="46" t="s">
        <v>1</v>
      </c>
      <c r="D1" s="46"/>
      <c r="E1" s="46"/>
      <c r="F1" s="46"/>
      <c r="G1" s="73">
        <f ca="1">NOW()</f>
        <v>44902.644180787036</v>
      </c>
    </row>
    <row r="2" spans="1:7">
      <c r="A2" s="48" t="s">
        <v>0</v>
      </c>
      <c r="B2" s="47"/>
      <c r="C2" s="47" t="s">
        <v>110</v>
      </c>
      <c r="D2" s="47"/>
      <c r="E2" s="47"/>
      <c r="F2" s="47"/>
      <c r="G2" s="49"/>
    </row>
    <row r="3" spans="1:7">
      <c r="A3" s="48" t="s">
        <v>0</v>
      </c>
      <c r="B3" s="47"/>
      <c r="C3" s="47" t="s">
        <v>126</v>
      </c>
      <c r="D3" s="47"/>
      <c r="E3" s="47"/>
      <c r="F3" s="47"/>
      <c r="G3" s="49"/>
    </row>
    <row r="4" spans="1:7">
      <c r="A4" s="69" t="s">
        <v>2</v>
      </c>
      <c r="B4" s="70" t="s">
        <v>2</v>
      </c>
      <c r="C4" s="70" t="s">
        <v>2</v>
      </c>
      <c r="D4" s="70" t="s">
        <v>2</v>
      </c>
      <c r="E4" s="70" t="s">
        <v>2</v>
      </c>
      <c r="F4" s="70" t="s">
        <v>2</v>
      </c>
      <c r="G4" s="71" t="s">
        <v>2</v>
      </c>
    </row>
    <row r="5" spans="1:7">
      <c r="A5" s="48"/>
      <c r="B5" s="74"/>
      <c r="C5" s="75" t="s">
        <v>3</v>
      </c>
      <c r="D5" s="75" t="s">
        <v>4</v>
      </c>
      <c r="E5" s="75" t="s">
        <v>5</v>
      </c>
      <c r="F5" s="75" t="s">
        <v>6</v>
      </c>
      <c r="G5" s="76"/>
    </row>
    <row r="6" spans="1:7">
      <c r="A6" s="48"/>
      <c r="B6" s="74"/>
      <c r="C6" s="75" t="s">
        <v>7</v>
      </c>
      <c r="D6" s="75" t="s">
        <v>8</v>
      </c>
      <c r="E6" s="75" t="s">
        <v>7</v>
      </c>
      <c r="F6" s="75" t="s">
        <v>73</v>
      </c>
      <c r="G6" s="77" t="s">
        <v>9</v>
      </c>
    </row>
    <row r="7" spans="1:7">
      <c r="A7" s="68"/>
      <c r="B7" s="78" t="s">
        <v>10</v>
      </c>
      <c r="C7" s="79" t="s">
        <v>11</v>
      </c>
      <c r="D7" s="79" t="s">
        <v>12</v>
      </c>
      <c r="E7" s="80" t="s">
        <v>13</v>
      </c>
      <c r="F7" s="79" t="s">
        <v>14</v>
      </c>
      <c r="G7" s="81" t="s">
        <v>15</v>
      </c>
    </row>
    <row r="8" spans="1:7" ht="15.75">
      <c r="A8" s="82" t="s">
        <v>16</v>
      </c>
      <c r="B8" s="128" t="s">
        <v>17</v>
      </c>
      <c r="C8" s="126">
        <v>119104</v>
      </c>
      <c r="D8" s="126">
        <f>222455-C8</f>
        <v>103351</v>
      </c>
      <c r="E8" s="126">
        <f>328653-D8-C8</f>
        <v>106198</v>
      </c>
      <c r="F8" s="126">
        <f>473391-E8-D8-C8</f>
        <v>144738</v>
      </c>
      <c r="G8" s="126">
        <f>C8+D8+E8+F8</f>
        <v>473391</v>
      </c>
    </row>
    <row r="9" spans="1:7" ht="15.75">
      <c r="A9" s="130">
        <v>0.05</v>
      </c>
      <c r="B9" s="89" t="s">
        <v>78</v>
      </c>
      <c r="C9" s="126">
        <v>2695640</v>
      </c>
      <c r="D9" s="126">
        <f>6152184-C9</f>
        <v>3456544</v>
      </c>
      <c r="E9" s="132">
        <f>6687909-D9-C9</f>
        <v>535725</v>
      </c>
      <c r="F9" s="126">
        <f>9274437-E9-D9-C9</f>
        <v>2586528</v>
      </c>
      <c r="G9" s="126">
        <f>C9+D9+E9+F9</f>
        <v>9274437</v>
      </c>
    </row>
    <row r="10" spans="1:7" ht="15.75">
      <c r="A10" s="130">
        <v>0.01</v>
      </c>
      <c r="B10" s="89" t="s">
        <v>81</v>
      </c>
      <c r="C10" s="126">
        <v>539128</v>
      </c>
      <c r="D10" s="126">
        <f>1168135-C10</f>
        <v>629007</v>
      </c>
      <c r="E10" s="132">
        <f>1275213-D10-C10</f>
        <v>107078</v>
      </c>
      <c r="F10" s="126">
        <f>1792519-E10-D10-C10</f>
        <v>517306</v>
      </c>
      <c r="G10" s="126">
        <f t="shared" ref="G10:G71" si="0">C10+D10+E10+F10</f>
        <v>1792519</v>
      </c>
    </row>
    <row r="11" spans="1:7" ht="15.75">
      <c r="A11" s="82" t="s">
        <v>16</v>
      </c>
      <c r="B11" s="85" t="s">
        <v>18</v>
      </c>
      <c r="C11" s="132">
        <v>57558</v>
      </c>
      <c r="D11" s="126">
        <f>73050-C11</f>
        <v>15492</v>
      </c>
      <c r="E11" s="126">
        <f>207101-D11-C11</f>
        <v>134051</v>
      </c>
      <c r="F11" s="132">
        <f>264781-E11-D11-C11</f>
        <v>57680</v>
      </c>
      <c r="G11" s="126">
        <f t="shared" si="0"/>
        <v>264781</v>
      </c>
    </row>
    <row r="12" spans="1:7" ht="15.75">
      <c r="A12" s="82" t="s">
        <v>16</v>
      </c>
      <c r="B12" s="85" t="s">
        <v>19</v>
      </c>
      <c r="C12" s="132">
        <v>54153</v>
      </c>
      <c r="D12" s="132">
        <f>84700-C12</f>
        <v>30547</v>
      </c>
      <c r="E12" s="126">
        <f>260358-D12-C12</f>
        <v>175658</v>
      </c>
      <c r="F12" s="132">
        <f>314511-E12-D12-C12</f>
        <v>54153</v>
      </c>
      <c r="G12" s="126">
        <f t="shared" si="0"/>
        <v>314511</v>
      </c>
    </row>
    <row r="13" spans="1:7" ht="15.75">
      <c r="A13" s="82" t="s">
        <v>16</v>
      </c>
      <c r="B13" s="85" t="s">
        <v>20</v>
      </c>
      <c r="C13" s="126">
        <v>2727.04</v>
      </c>
      <c r="D13" s="126">
        <f>6201.05-C13</f>
        <v>3474.01</v>
      </c>
      <c r="E13" s="126">
        <f>7528.72-D13-C13</f>
        <v>1327.67</v>
      </c>
      <c r="F13" s="126">
        <f>11730-E13-D13-C13</f>
        <v>4201.28</v>
      </c>
      <c r="G13" s="126">
        <f t="shared" si="0"/>
        <v>11730</v>
      </c>
    </row>
    <row r="14" spans="1:7" ht="15.75">
      <c r="A14" s="87">
        <v>0.04</v>
      </c>
      <c r="B14" s="85" t="s">
        <v>21</v>
      </c>
      <c r="C14" s="132">
        <v>11643</v>
      </c>
      <c r="D14" s="132">
        <f>21040-C14</f>
        <v>9397</v>
      </c>
      <c r="E14" s="132">
        <f>8582</f>
        <v>8582</v>
      </c>
      <c r="F14" s="132">
        <f>46119-E14-D14-C14</f>
        <v>16497</v>
      </c>
      <c r="G14" s="126">
        <f t="shared" si="0"/>
        <v>46119</v>
      </c>
    </row>
    <row r="15" spans="1:7" ht="15.75">
      <c r="A15" s="82" t="s">
        <v>22</v>
      </c>
      <c r="B15" s="85" t="s">
        <v>23</v>
      </c>
      <c r="C15" s="126">
        <v>29416</v>
      </c>
      <c r="D15" s="126">
        <v>27131</v>
      </c>
      <c r="E15" s="126">
        <v>16276</v>
      </c>
      <c r="F15" s="126">
        <v>24216</v>
      </c>
      <c r="G15" s="126">
        <f t="shared" si="0"/>
        <v>97039</v>
      </c>
    </row>
    <row r="16" spans="1:7" ht="15.75">
      <c r="A16" s="87">
        <v>0.03</v>
      </c>
      <c r="B16" s="85" t="s">
        <v>75</v>
      </c>
      <c r="C16" s="126">
        <v>17125</v>
      </c>
      <c r="D16" s="132">
        <f>30315-C16</f>
        <v>13190</v>
      </c>
      <c r="E16" s="126">
        <f>42916-13190-17125</f>
        <v>12601</v>
      </c>
      <c r="F16" s="126">
        <f>58671-E16-D16-C16</f>
        <v>15755</v>
      </c>
      <c r="G16" s="126">
        <f t="shared" si="0"/>
        <v>58671</v>
      </c>
    </row>
    <row r="17" spans="1:8" ht="15.75">
      <c r="A17" s="87">
        <v>0.03</v>
      </c>
      <c r="B17" s="85" t="s">
        <v>76</v>
      </c>
      <c r="C17" s="126">
        <v>2467.5700000000002</v>
      </c>
      <c r="D17" s="126">
        <f>3415.21-C17</f>
        <v>947.63999999999987</v>
      </c>
      <c r="E17" s="126">
        <f>3931.65-D17-C17</f>
        <v>516.44000000000005</v>
      </c>
      <c r="F17" s="126">
        <f>4562.34-E17-D17-C17</f>
        <v>630.69000000000005</v>
      </c>
      <c r="G17" s="126">
        <f t="shared" si="0"/>
        <v>4562.34</v>
      </c>
    </row>
    <row r="18" spans="1:8" ht="15.75">
      <c r="A18" s="87">
        <v>0.05</v>
      </c>
      <c r="B18" s="85" t="s">
        <v>24</v>
      </c>
      <c r="C18" s="132">
        <v>447683</v>
      </c>
      <c r="D18" s="126">
        <f>820552-C18</f>
        <v>372869</v>
      </c>
      <c r="E18" s="126">
        <f>1167994-D18-C18</f>
        <v>347442</v>
      </c>
      <c r="F18" s="126">
        <f>1583121-E18-D18-C18</f>
        <v>415127</v>
      </c>
      <c r="G18" s="126">
        <f t="shared" si="0"/>
        <v>1583121</v>
      </c>
    </row>
    <row r="19" spans="1:8" ht="15.75">
      <c r="A19" s="82" t="s">
        <v>22</v>
      </c>
      <c r="B19" s="85" t="s">
        <v>25</v>
      </c>
      <c r="C19" s="132">
        <v>1234</v>
      </c>
      <c r="D19" s="132">
        <f>3480-C19</f>
        <v>2246</v>
      </c>
      <c r="E19" s="126">
        <f>6085-D19-C19</f>
        <v>2605</v>
      </c>
      <c r="F19" s="126">
        <f>11889-E19-D19-C19</f>
        <v>5804</v>
      </c>
      <c r="G19" s="126">
        <f t="shared" si="0"/>
        <v>11889</v>
      </c>
    </row>
    <row r="20" spans="1:8" ht="15.75">
      <c r="A20" s="87">
        <v>0.04</v>
      </c>
      <c r="B20" s="85" t="s">
        <v>26</v>
      </c>
      <c r="C20" s="126">
        <v>37429</v>
      </c>
      <c r="D20" s="126">
        <f>65209-C20</f>
        <v>27780</v>
      </c>
      <c r="E20" s="126">
        <f>69443-D20-C20</f>
        <v>4234</v>
      </c>
      <c r="F20" s="126">
        <f>77981-E20-D20-C20</f>
        <v>8538</v>
      </c>
      <c r="G20" s="126">
        <f t="shared" si="0"/>
        <v>77981</v>
      </c>
    </row>
    <row r="21" spans="1:8" ht="15.75">
      <c r="A21" s="82" t="s">
        <v>27</v>
      </c>
      <c r="B21" s="85" t="s">
        <v>28</v>
      </c>
      <c r="C21" s="126">
        <v>9699</v>
      </c>
      <c r="D21" s="132">
        <f>14095-C21</f>
        <v>4396</v>
      </c>
      <c r="E21" s="126">
        <f>16826-D21-C21</f>
        <v>2731</v>
      </c>
      <c r="F21" s="126">
        <f>20371-E21-D21-C21</f>
        <v>3545</v>
      </c>
      <c r="G21" s="126">
        <f t="shared" si="0"/>
        <v>20371</v>
      </c>
    </row>
    <row r="22" spans="1:8" ht="15.75">
      <c r="A22" s="87">
        <v>0.05</v>
      </c>
      <c r="B22" s="85" t="s">
        <v>29</v>
      </c>
      <c r="C22" s="132">
        <v>45822.11</v>
      </c>
      <c r="D22" s="126">
        <f>72418.33-C22:C22</f>
        <v>26596.22</v>
      </c>
      <c r="E22" s="126">
        <f>91048.67-D22-C22</f>
        <v>18630.339999999997</v>
      </c>
      <c r="F22" s="126">
        <f>116796.61-E22-D22-C22</f>
        <v>25747.940000000002</v>
      </c>
      <c r="G22" s="126">
        <f t="shared" si="0"/>
        <v>116796.61</v>
      </c>
    </row>
    <row r="23" spans="1:8" ht="15.75">
      <c r="A23" s="87">
        <v>0.05</v>
      </c>
      <c r="B23" s="85" t="s">
        <v>77</v>
      </c>
      <c r="C23" s="126">
        <v>46588</v>
      </c>
      <c r="D23" s="126">
        <f>74732-C23</f>
        <v>28144</v>
      </c>
      <c r="E23" s="126">
        <f>95937-D23-C23</f>
        <v>21205</v>
      </c>
      <c r="F23" s="132">
        <f>113973-E23-D23-C23</f>
        <v>18036</v>
      </c>
      <c r="G23" s="126">
        <f t="shared" si="0"/>
        <v>113973</v>
      </c>
    </row>
    <row r="24" spans="1:8" ht="15.75">
      <c r="A24" s="87">
        <v>0.05</v>
      </c>
      <c r="B24" s="85" t="s">
        <v>30</v>
      </c>
      <c r="C24" s="126">
        <v>147273</v>
      </c>
      <c r="D24" s="126">
        <f>294671-C24</f>
        <v>147398</v>
      </c>
      <c r="E24" s="126">
        <f>446642-D24-C24</f>
        <v>151971</v>
      </c>
      <c r="F24" s="126">
        <f>625603+1000-E24-D24-C24</f>
        <v>179961</v>
      </c>
      <c r="G24" s="126">
        <f t="shared" si="0"/>
        <v>626603</v>
      </c>
    </row>
    <row r="25" spans="1:8" ht="15.75">
      <c r="A25" s="87">
        <v>0.05</v>
      </c>
      <c r="B25" s="85" t="s">
        <v>31</v>
      </c>
      <c r="C25" s="132">
        <v>876</v>
      </c>
      <c r="D25" s="132">
        <f>1754-C25</f>
        <v>878</v>
      </c>
      <c r="E25" s="132">
        <f>2694-D25-C25</f>
        <v>940</v>
      </c>
      <c r="F25" s="132">
        <f>3493-E25-D25-C25</f>
        <v>799</v>
      </c>
      <c r="G25" s="126">
        <f t="shared" si="0"/>
        <v>3493</v>
      </c>
    </row>
    <row r="26" spans="1:8" ht="15.75">
      <c r="A26" s="93">
        <v>3.5000000000000003E-2</v>
      </c>
      <c r="B26" s="85" t="s">
        <v>74</v>
      </c>
      <c r="C26" s="132">
        <v>1458</v>
      </c>
      <c r="D26" s="132">
        <f>3071-C26</f>
        <v>1613</v>
      </c>
      <c r="E26" s="132">
        <f>3548-D26-C26</f>
        <v>477</v>
      </c>
      <c r="F26" s="132">
        <f>4983-E26-D26-C26</f>
        <v>1435</v>
      </c>
      <c r="G26" s="126">
        <f t="shared" si="0"/>
        <v>4983</v>
      </c>
    </row>
    <row r="27" spans="1:8" ht="15.75">
      <c r="A27" s="82" t="s">
        <v>22</v>
      </c>
      <c r="B27" s="85" t="s">
        <v>32</v>
      </c>
      <c r="C27" s="132">
        <v>5694</v>
      </c>
      <c r="D27" s="132">
        <f>9614-C27</f>
        <v>3920</v>
      </c>
      <c r="E27" s="126">
        <f>11457-D27-C27</f>
        <v>1843</v>
      </c>
      <c r="F27" s="126">
        <f>13814-E27-D27-C27</f>
        <v>2357</v>
      </c>
      <c r="G27" s="126">
        <f t="shared" si="0"/>
        <v>13814</v>
      </c>
    </row>
    <row r="28" spans="1:8" ht="15.75">
      <c r="A28" s="94" t="s">
        <v>16</v>
      </c>
      <c r="B28" s="85" t="s">
        <v>80</v>
      </c>
      <c r="C28" s="126">
        <v>89970</v>
      </c>
      <c r="D28" s="126">
        <f>164629-C28</f>
        <v>74659</v>
      </c>
      <c r="E28" s="126">
        <f>254619-D28-C28</f>
        <v>89990</v>
      </c>
      <c r="F28" s="126">
        <f>350666-E28-D28-C28</f>
        <v>96047</v>
      </c>
      <c r="G28" s="126">
        <f t="shared" si="0"/>
        <v>350666</v>
      </c>
    </row>
    <row r="29" spans="1:8" ht="15.75">
      <c r="A29" s="82" t="s">
        <v>22</v>
      </c>
      <c r="B29" s="85" t="s">
        <v>33</v>
      </c>
      <c r="C29" s="126">
        <v>21288</v>
      </c>
      <c r="D29" s="126">
        <f>28098-C29</f>
        <v>6810</v>
      </c>
      <c r="E29" s="126">
        <f>32950-D29-C29</f>
        <v>4852</v>
      </c>
      <c r="F29" s="126">
        <f>37860-E29-D29-C29</f>
        <v>4910</v>
      </c>
      <c r="G29" s="126">
        <f t="shared" si="0"/>
        <v>37860</v>
      </c>
    </row>
    <row r="30" spans="1:8" ht="15.75">
      <c r="A30" s="87">
        <v>0.05</v>
      </c>
      <c r="B30" s="85" t="s">
        <v>72</v>
      </c>
      <c r="C30" s="126">
        <v>15209.49</v>
      </c>
      <c r="D30" s="132">
        <f>23863.72-C30</f>
        <v>8654.2300000000014</v>
      </c>
      <c r="E30" s="126">
        <f>27328.53-D30-C30</f>
        <v>3464.8099999999959</v>
      </c>
      <c r="F30" s="126">
        <f>35519.73-E30-D30-C30</f>
        <v>8191.2000000000025</v>
      </c>
      <c r="G30" s="126">
        <f t="shared" si="0"/>
        <v>35519.730000000003</v>
      </c>
    </row>
    <row r="31" spans="1:8" ht="15.75">
      <c r="A31" s="87">
        <v>0.05</v>
      </c>
      <c r="B31" s="85" t="s">
        <v>34</v>
      </c>
      <c r="C31" s="132">
        <v>5635</v>
      </c>
      <c r="D31" s="132">
        <f>28529-C31</f>
        <v>22894</v>
      </c>
      <c r="E31" s="132">
        <f>33972-D31-C31</f>
        <v>5443</v>
      </c>
      <c r="F31" s="132">
        <f>36853-E31-D31-C31</f>
        <v>2881</v>
      </c>
      <c r="G31" s="126">
        <f t="shared" si="0"/>
        <v>36853</v>
      </c>
      <c r="H31" t="s">
        <v>0</v>
      </c>
    </row>
    <row r="32" spans="1:8" ht="15.75">
      <c r="A32" s="82" t="s">
        <v>16</v>
      </c>
      <c r="B32" s="85" t="s">
        <v>35</v>
      </c>
      <c r="C32" s="126">
        <v>311105</v>
      </c>
      <c r="D32" s="126">
        <f>644631-C32</f>
        <v>333526</v>
      </c>
      <c r="E32" s="126">
        <f>864333-D32-C32</f>
        <v>219702</v>
      </c>
      <c r="F32" s="126">
        <f>1190133-E32-D32-C32</f>
        <v>325800</v>
      </c>
      <c r="G32" s="126">
        <f t="shared" si="0"/>
        <v>1190133</v>
      </c>
    </row>
    <row r="33" spans="1:9" ht="15.75">
      <c r="A33" s="82" t="s">
        <v>16</v>
      </c>
      <c r="B33" s="85" t="s">
        <v>36</v>
      </c>
      <c r="C33" s="126">
        <v>9516</v>
      </c>
      <c r="D33" s="126">
        <f>17655-C33</f>
        <v>8139</v>
      </c>
      <c r="E33" s="132">
        <f>22306-D33-C33</f>
        <v>4651</v>
      </c>
      <c r="F33" s="126">
        <f>29836-E33-D33-C33</f>
        <v>7530</v>
      </c>
      <c r="G33" s="126">
        <f t="shared" si="0"/>
        <v>29836</v>
      </c>
    </row>
    <row r="34" spans="1:9" ht="15.75">
      <c r="A34" s="82" t="s">
        <v>16</v>
      </c>
      <c r="B34" s="85" t="s">
        <v>37</v>
      </c>
      <c r="C34" s="132">
        <v>424355</v>
      </c>
      <c r="D34" s="126">
        <f>749773-C34</f>
        <v>325418</v>
      </c>
      <c r="E34" s="126">
        <f>1062144-D34-C34</f>
        <v>312371</v>
      </c>
      <c r="F34" s="126">
        <f>1374974-E34-D34-C34</f>
        <v>312830</v>
      </c>
      <c r="G34" s="126">
        <f t="shared" si="0"/>
        <v>1374974</v>
      </c>
      <c r="I34" t="s">
        <v>0</v>
      </c>
    </row>
    <row r="35" spans="1:9" ht="15.75">
      <c r="A35" s="82" t="s">
        <v>16</v>
      </c>
      <c r="B35" s="85" t="s">
        <v>38</v>
      </c>
      <c r="C35" s="126">
        <v>108867</v>
      </c>
      <c r="D35" s="132">
        <f>206196-C35</f>
        <v>97329</v>
      </c>
      <c r="E35" s="126">
        <f>271949-D35-C35</f>
        <v>65753</v>
      </c>
      <c r="F35" s="126">
        <f>356065-E35-D35-C35</f>
        <v>84116</v>
      </c>
      <c r="G35" s="126">
        <f t="shared" si="0"/>
        <v>356065</v>
      </c>
    </row>
    <row r="36" spans="1:9" ht="15.75">
      <c r="A36" s="82" t="s">
        <v>22</v>
      </c>
      <c r="B36" s="85" t="s">
        <v>39</v>
      </c>
      <c r="C36" s="126">
        <v>707.46</v>
      </c>
      <c r="D36" s="126">
        <f>1186.83-C36</f>
        <v>479.36999999999989</v>
      </c>
      <c r="E36" s="126">
        <f>1976.75-D36-C36</f>
        <v>789.92000000000007</v>
      </c>
      <c r="F36" s="126">
        <f>2515-E36-D36-C36</f>
        <v>538.25</v>
      </c>
      <c r="G36" s="126">
        <f t="shared" si="0"/>
        <v>2515</v>
      </c>
    </row>
    <row r="37" spans="1:9" ht="15.75">
      <c r="A37" s="87">
        <v>0.05</v>
      </c>
      <c r="B37" s="85" t="s">
        <v>40</v>
      </c>
      <c r="C37" s="126">
        <v>404025</v>
      </c>
      <c r="D37" s="126">
        <f>782191-C37</f>
        <v>378166</v>
      </c>
      <c r="E37" s="126">
        <f>1169155-D37-C37</f>
        <v>386964</v>
      </c>
      <c r="F37" s="126">
        <f>1587310-E37-D37-C37</f>
        <v>418155</v>
      </c>
      <c r="G37" s="126">
        <f t="shared" si="0"/>
        <v>1587310</v>
      </c>
    </row>
    <row r="38" spans="1:9" ht="15.75">
      <c r="A38" s="87">
        <v>0.03</v>
      </c>
      <c r="B38" s="85" t="s">
        <v>41</v>
      </c>
      <c r="C38" s="126">
        <v>874</v>
      </c>
      <c r="D38" s="126">
        <f>1418-C38</f>
        <v>544</v>
      </c>
      <c r="E38" s="126">
        <f>1923-D38-C38</f>
        <v>505</v>
      </c>
      <c r="F38" s="126">
        <f>2449-E38-D38-C38</f>
        <v>526</v>
      </c>
      <c r="G38" s="126">
        <f t="shared" si="0"/>
        <v>2449</v>
      </c>
    </row>
    <row r="39" spans="1:9" ht="15.75">
      <c r="A39" s="82" t="s">
        <v>16</v>
      </c>
      <c r="B39" s="85" t="s">
        <v>42</v>
      </c>
      <c r="C39" s="132">
        <v>5059</v>
      </c>
      <c r="D39" s="126">
        <f>8408-C39</f>
        <v>3349</v>
      </c>
      <c r="E39" s="132">
        <f>10993-D39-C39</f>
        <v>2585</v>
      </c>
      <c r="F39" s="126">
        <f>14245-E39-D39-C39</f>
        <v>3252</v>
      </c>
      <c r="G39" s="126">
        <f t="shared" si="0"/>
        <v>14245</v>
      </c>
    </row>
    <row r="40" spans="1:9" ht="15.75">
      <c r="A40" s="82" t="s">
        <v>16</v>
      </c>
      <c r="B40" s="85" t="s">
        <v>43</v>
      </c>
      <c r="C40" s="132">
        <v>482662</v>
      </c>
      <c r="D40" s="132">
        <f>977411-C40</f>
        <v>494749</v>
      </c>
      <c r="E40" s="132">
        <f>1423284-D40-C40</f>
        <v>445873</v>
      </c>
      <c r="F40" s="126">
        <f>1889254-E40-D40-C40</f>
        <v>465970</v>
      </c>
      <c r="G40" s="126">
        <f t="shared" si="0"/>
        <v>1889254</v>
      </c>
    </row>
    <row r="41" spans="1:9" ht="15.75">
      <c r="A41" s="147">
        <v>2.5</v>
      </c>
      <c r="B41" s="85" t="s">
        <v>148</v>
      </c>
      <c r="C41" s="132">
        <v>328413.33</v>
      </c>
      <c r="D41" s="132">
        <f>647491.91-C41</f>
        <v>319078.58</v>
      </c>
      <c r="E41" s="132">
        <f>944207.8-D41-C41</f>
        <v>296715.88999999996</v>
      </c>
      <c r="F41" s="126">
        <f>1238042-E41-D41-C41</f>
        <v>293834.2</v>
      </c>
      <c r="G41" s="126">
        <f t="shared" si="0"/>
        <v>1238042</v>
      </c>
    </row>
    <row r="42" spans="1:9" ht="15.75">
      <c r="A42" s="82" t="s">
        <v>27</v>
      </c>
      <c r="B42" s="85" t="s">
        <v>44</v>
      </c>
      <c r="C42" s="132">
        <v>72444</v>
      </c>
      <c r="D42" s="126">
        <f>120266-C42</f>
        <v>47822</v>
      </c>
      <c r="E42" s="126">
        <f>157650-D42-C42</f>
        <v>37384</v>
      </c>
      <c r="F42" s="126">
        <f>226200-E42-D42-C42</f>
        <v>68550</v>
      </c>
      <c r="G42" s="126">
        <f t="shared" si="0"/>
        <v>226200</v>
      </c>
    </row>
    <row r="43" spans="1:9" ht="15.75">
      <c r="A43" s="82" t="s">
        <v>22</v>
      </c>
      <c r="B43" s="85" t="s">
        <v>45</v>
      </c>
      <c r="C43" s="126">
        <v>3354</v>
      </c>
      <c r="D43" s="126">
        <f>4743-C43</f>
        <v>1389</v>
      </c>
      <c r="E43" s="126">
        <f>5774-D43-C43</f>
        <v>1031</v>
      </c>
      <c r="F43" s="126">
        <f>8172-E43-D43-C43</f>
        <v>2398</v>
      </c>
      <c r="G43" s="126">
        <f t="shared" si="0"/>
        <v>8172</v>
      </c>
    </row>
    <row r="44" spans="1:9" ht="15.75">
      <c r="A44" s="82" t="s">
        <v>16</v>
      </c>
      <c r="B44" s="85" t="s">
        <v>46</v>
      </c>
      <c r="C44" s="132">
        <v>55471</v>
      </c>
      <c r="D44" s="132">
        <f>95165-C44</f>
        <v>39694</v>
      </c>
      <c r="E44" s="126">
        <f>154157-D44-C44</f>
        <v>58992</v>
      </c>
      <c r="F44" s="126">
        <f>207379-E44-D44-C44</f>
        <v>53222</v>
      </c>
      <c r="G44" s="126">
        <f t="shared" si="0"/>
        <v>207379</v>
      </c>
    </row>
    <row r="45" spans="1:9" ht="15.75">
      <c r="A45" s="82" t="s">
        <v>27</v>
      </c>
      <c r="B45" s="85" t="s">
        <v>48</v>
      </c>
      <c r="C45" s="132">
        <v>19393.57</v>
      </c>
      <c r="D45" s="132">
        <f>33477.7-C45</f>
        <v>14084.129999999997</v>
      </c>
      <c r="E45" s="132">
        <f>42269.41-D45-C45</f>
        <v>8791.7100000000064</v>
      </c>
      <c r="F45" s="126">
        <f>59771.22-E45-D45-C45</f>
        <v>17501.809999999998</v>
      </c>
      <c r="G45" s="126">
        <f t="shared" si="0"/>
        <v>59771.22</v>
      </c>
    </row>
    <row r="46" spans="1:9" ht="15.75">
      <c r="A46" s="94" t="s">
        <v>16</v>
      </c>
      <c r="B46" s="85" t="s">
        <v>49</v>
      </c>
      <c r="C46" s="132">
        <v>18371</v>
      </c>
      <c r="D46" s="132">
        <f>35845-C46</f>
        <v>17474</v>
      </c>
      <c r="E46" s="126">
        <f>52739-D46-C46</f>
        <v>16894</v>
      </c>
      <c r="F46" s="126">
        <f>68979-E46-D46-C46</f>
        <v>16240</v>
      </c>
      <c r="G46" s="126">
        <f t="shared" si="0"/>
        <v>68979</v>
      </c>
    </row>
    <row r="47" spans="1:9" ht="15.75">
      <c r="A47" s="87">
        <v>0.04</v>
      </c>
      <c r="B47" s="85" t="s">
        <v>50</v>
      </c>
      <c r="C47" s="126">
        <v>1516.06</v>
      </c>
      <c r="D47" s="126">
        <f>2481.28-C47</f>
        <v>965.22000000000025</v>
      </c>
      <c r="E47" s="126">
        <f>2675-D47-C47</f>
        <v>193.7199999999998</v>
      </c>
      <c r="F47" s="132">
        <f>2674.56-E47-D47-C47+253.68</f>
        <v>253.23999999999995</v>
      </c>
      <c r="G47" s="126">
        <f t="shared" si="0"/>
        <v>2928.24</v>
      </c>
    </row>
    <row r="48" spans="1:9" ht="15.75">
      <c r="A48" s="82" t="s">
        <v>16</v>
      </c>
      <c r="B48" s="85" t="s">
        <v>122</v>
      </c>
      <c r="C48" s="126">
        <v>885.6</v>
      </c>
      <c r="D48" s="132">
        <f>1662.85-C48</f>
        <v>777.24999999999989</v>
      </c>
      <c r="E48" s="126">
        <v>198.2</v>
      </c>
      <c r="F48" s="132">
        <f>3756.06-E48-D48-C48</f>
        <v>1895.0100000000002</v>
      </c>
      <c r="G48" s="126">
        <f t="shared" si="0"/>
        <v>3756.0600000000004</v>
      </c>
    </row>
    <row r="49" spans="1:7" ht="15.75">
      <c r="A49" s="82" t="s">
        <v>22</v>
      </c>
      <c r="B49" s="85" t="s">
        <v>51</v>
      </c>
      <c r="C49" s="132">
        <v>520</v>
      </c>
      <c r="D49" s="126">
        <v>769</v>
      </c>
      <c r="E49" s="126">
        <f>2171-D49-C49</f>
        <v>882</v>
      </c>
      <c r="F49" s="126">
        <f>2371-E49-D49-C49</f>
        <v>200</v>
      </c>
      <c r="G49" s="126">
        <f t="shared" si="0"/>
        <v>2371</v>
      </c>
    </row>
    <row r="50" spans="1:7" ht="15.75">
      <c r="A50" s="82" t="s">
        <v>16</v>
      </c>
      <c r="B50" s="85" t="s">
        <v>52</v>
      </c>
      <c r="C50" s="126">
        <v>33222</v>
      </c>
      <c r="D50" s="126">
        <f>80217-C50</f>
        <v>46995</v>
      </c>
      <c r="E50" s="126">
        <f>101671-D50-C50</f>
        <v>21454</v>
      </c>
      <c r="F50" s="126">
        <f>159735-E50-D50-C50</f>
        <v>58064</v>
      </c>
      <c r="G50" s="126">
        <f t="shared" si="0"/>
        <v>159735</v>
      </c>
    </row>
    <row r="51" spans="1:7" ht="15.75">
      <c r="A51" s="82" t="s">
        <v>22</v>
      </c>
      <c r="B51" s="85" t="s">
        <v>53</v>
      </c>
      <c r="C51" s="132">
        <v>4395</v>
      </c>
      <c r="D51" s="126">
        <f>4891-C51</f>
        <v>496</v>
      </c>
      <c r="E51" s="126">
        <f>5586-D51-C51</f>
        <v>695</v>
      </c>
      <c r="F51" s="126">
        <f>6596-E51-D51-C51</f>
        <v>1010</v>
      </c>
      <c r="G51" s="126">
        <f t="shared" si="0"/>
        <v>6596</v>
      </c>
    </row>
    <row r="52" spans="1:7" ht="15.75">
      <c r="A52" s="82" t="s">
        <v>16</v>
      </c>
      <c r="B52" s="85" t="s">
        <v>54</v>
      </c>
      <c r="C52" s="126">
        <v>33052.449999999997</v>
      </c>
      <c r="D52" s="126">
        <f>62223.4-C52</f>
        <v>29170.950000000004</v>
      </c>
      <c r="E52" s="126">
        <f>83874.93-D52-C52</f>
        <v>21651.529999999992</v>
      </c>
      <c r="F52" s="126">
        <f>116565.45-E52-D52-C52</f>
        <v>32690.520000000004</v>
      </c>
      <c r="G52" s="126">
        <f t="shared" si="0"/>
        <v>116565.45</v>
      </c>
    </row>
    <row r="53" spans="1:7" ht="15.75">
      <c r="A53" s="82" t="s">
        <v>16</v>
      </c>
      <c r="B53" s="85" t="s">
        <v>55</v>
      </c>
      <c r="C53" s="126">
        <v>121588</v>
      </c>
      <c r="D53" s="126">
        <f>184440-C53</f>
        <v>62852</v>
      </c>
      <c r="E53" s="126">
        <f>237650-D53-C53</f>
        <v>53210</v>
      </c>
      <c r="F53" s="126">
        <f>309427-E53-D53-C53</f>
        <v>71777</v>
      </c>
      <c r="G53" s="126">
        <f t="shared" si="0"/>
        <v>309427</v>
      </c>
    </row>
    <row r="54" spans="1:7" ht="15.75">
      <c r="A54" s="82" t="s">
        <v>16</v>
      </c>
      <c r="B54" s="85" t="s">
        <v>56</v>
      </c>
      <c r="C54" s="126">
        <v>224134</v>
      </c>
      <c r="D54" s="126">
        <f>310008-C54</f>
        <v>85874</v>
      </c>
      <c r="E54" s="126">
        <f>480929-D54-C54</f>
        <v>170921</v>
      </c>
      <c r="F54" s="126">
        <f>582005-E54-D54-C54</f>
        <v>101076</v>
      </c>
      <c r="G54" s="126">
        <f t="shared" si="0"/>
        <v>582005</v>
      </c>
    </row>
    <row r="55" spans="1:7" ht="15.75">
      <c r="A55" s="87">
        <v>0.05</v>
      </c>
      <c r="B55" s="85" t="s">
        <v>132</v>
      </c>
      <c r="C55" s="126">
        <v>353.8</v>
      </c>
      <c r="D55" s="132">
        <f>1627-C55</f>
        <v>1273.2</v>
      </c>
      <c r="E55" s="132">
        <f>2295-D55-C55</f>
        <v>668</v>
      </c>
      <c r="F55" s="126">
        <f>3546-E55-D55-C55</f>
        <v>1251</v>
      </c>
      <c r="G55" s="126">
        <f t="shared" si="0"/>
        <v>3546</v>
      </c>
    </row>
    <row r="56" spans="1:7" ht="15.75">
      <c r="A56" s="87">
        <v>0.05</v>
      </c>
      <c r="B56" s="85" t="s">
        <v>57</v>
      </c>
      <c r="C56" s="126">
        <v>79756</v>
      </c>
      <c r="D56" s="126">
        <f>161182-C56</f>
        <v>81426</v>
      </c>
      <c r="E56" s="126">
        <f>216810-D56-C56</f>
        <v>55628</v>
      </c>
      <c r="F56" s="126">
        <f>294718-E56-D56-C56</f>
        <v>77908</v>
      </c>
      <c r="G56" s="126">
        <f t="shared" si="0"/>
        <v>294718</v>
      </c>
    </row>
    <row r="57" spans="1:7" ht="15.75">
      <c r="A57" s="82" t="s">
        <v>16</v>
      </c>
      <c r="B57" s="85" t="s">
        <v>58</v>
      </c>
      <c r="C57" s="126">
        <v>258025</v>
      </c>
      <c r="D57" s="126">
        <f>499557-C57</f>
        <v>241532</v>
      </c>
      <c r="E57" s="126">
        <f>703041-D57-C57</f>
        <v>203484</v>
      </c>
      <c r="F57" s="126">
        <f>972755-E57-D57-C57</f>
        <v>269714</v>
      </c>
      <c r="G57" s="126">
        <f t="shared" si="0"/>
        <v>972755</v>
      </c>
    </row>
    <row r="58" spans="1:7" ht="15.75">
      <c r="A58" s="96" t="s">
        <v>16</v>
      </c>
      <c r="B58" s="85" t="s">
        <v>59</v>
      </c>
      <c r="C58" s="126">
        <v>456837</v>
      </c>
      <c r="D58" s="126">
        <f>704484-C58</f>
        <v>247647</v>
      </c>
      <c r="E58" s="126">
        <f>1011865-D58</f>
        <v>764218</v>
      </c>
      <c r="F58" s="132">
        <f>1224744-E64-D64-C64</f>
        <v>917496</v>
      </c>
      <c r="G58" s="126">
        <f t="shared" si="0"/>
        <v>2386198</v>
      </c>
    </row>
    <row r="59" spans="1:7" ht="15.75">
      <c r="A59" s="82" t="s">
        <v>16</v>
      </c>
      <c r="B59" s="85" t="s">
        <v>60</v>
      </c>
      <c r="C59" s="126">
        <v>69373</v>
      </c>
      <c r="D59" s="126">
        <f>118176-C59</f>
        <v>48803</v>
      </c>
      <c r="E59" s="126">
        <f>143994-D59-C59</f>
        <v>25818</v>
      </c>
      <c r="F59" s="126">
        <f>179525-E59-D59-C59</f>
        <v>35531</v>
      </c>
      <c r="G59" s="126">
        <f t="shared" si="0"/>
        <v>179525</v>
      </c>
    </row>
    <row r="60" spans="1:7" ht="15.75">
      <c r="A60" s="87">
        <v>0.05</v>
      </c>
      <c r="B60" s="97" t="s">
        <v>79</v>
      </c>
      <c r="C60" s="126">
        <v>2108373</v>
      </c>
      <c r="D60" s="132">
        <f>3574965-C60</f>
        <v>1466592</v>
      </c>
      <c r="E60" s="126">
        <f>4514657-D60-C60</f>
        <v>939692</v>
      </c>
      <c r="F60" s="126">
        <f>5824085-E60-D60-C60</f>
        <v>1309428</v>
      </c>
      <c r="G60" s="126">
        <f t="shared" si="0"/>
        <v>5824085</v>
      </c>
    </row>
    <row r="61" spans="1:7" ht="15.75">
      <c r="A61" s="87">
        <v>0.02</v>
      </c>
      <c r="B61" s="97" t="s">
        <v>146</v>
      </c>
      <c r="C61" s="126">
        <v>843349</v>
      </c>
      <c r="D61" s="132">
        <f>1429986-C61</f>
        <v>586637</v>
      </c>
      <c r="E61" s="126">
        <f>1805863-D61-C61</f>
        <v>375877</v>
      </c>
      <c r="F61" s="126">
        <f>2329634-E61-D61-C61</f>
        <v>523771</v>
      </c>
      <c r="G61" s="126">
        <f t="shared" si="0"/>
        <v>2329634</v>
      </c>
    </row>
    <row r="62" spans="1:7" ht="15.75">
      <c r="A62" s="87">
        <v>0.05</v>
      </c>
      <c r="B62" s="85" t="s">
        <v>61</v>
      </c>
      <c r="C62" s="126">
        <v>133648.47</v>
      </c>
      <c r="D62" s="126">
        <f>232747.69-C62</f>
        <v>99099.22</v>
      </c>
      <c r="E62" s="126">
        <f>322181.98-D62-C62</f>
        <v>89434.289999999979</v>
      </c>
      <c r="F62" s="126">
        <f>444133.49-E62-D62-C62</f>
        <v>121951.51000000001</v>
      </c>
      <c r="G62" s="126">
        <f t="shared" si="0"/>
        <v>444133.49</v>
      </c>
    </row>
    <row r="63" spans="1:7" ht="15.75">
      <c r="A63" s="82" t="s">
        <v>16</v>
      </c>
      <c r="B63" s="85" t="s">
        <v>62</v>
      </c>
      <c r="C63" s="132">
        <v>71789</v>
      </c>
      <c r="D63" s="132">
        <f>129886-C63</f>
        <v>58097</v>
      </c>
      <c r="E63" s="126">
        <f>174595-D63-C63</f>
        <v>44709</v>
      </c>
      <c r="F63" s="126">
        <f>242610-E63-D63-C63</f>
        <v>68015</v>
      </c>
      <c r="G63" s="126">
        <f t="shared" si="0"/>
        <v>242610</v>
      </c>
    </row>
    <row r="64" spans="1:7" ht="15.75">
      <c r="A64" s="87">
        <v>0.05</v>
      </c>
      <c r="B64" s="85" t="s">
        <v>63</v>
      </c>
      <c r="C64" s="126">
        <v>95529</v>
      </c>
      <c r="D64" s="132">
        <f>200737-C64</f>
        <v>105208</v>
      </c>
      <c r="E64" s="132">
        <f>211719-D64</f>
        <v>106511</v>
      </c>
      <c r="F64" s="132">
        <f>364002-E64-D64-C64</f>
        <v>56754</v>
      </c>
      <c r="G64" s="126">
        <f t="shared" si="0"/>
        <v>364002</v>
      </c>
    </row>
    <row r="65" spans="1:7" ht="15.75">
      <c r="A65" s="82" t="s">
        <v>22</v>
      </c>
      <c r="B65" s="85" t="s">
        <v>133</v>
      </c>
      <c r="C65" s="132">
        <v>481</v>
      </c>
      <c r="D65" s="132">
        <f>683.72-C65</f>
        <v>202.72000000000003</v>
      </c>
      <c r="E65" s="126">
        <f>975-D65-C65</f>
        <v>291.27999999999997</v>
      </c>
      <c r="F65" s="126">
        <f>1896-E65-D65-C65</f>
        <v>921</v>
      </c>
      <c r="G65" s="126">
        <f t="shared" si="0"/>
        <v>1896</v>
      </c>
    </row>
    <row r="66" spans="1:7" ht="15.75">
      <c r="A66" s="87">
        <v>0.05</v>
      </c>
      <c r="B66" s="85" t="s">
        <v>65</v>
      </c>
      <c r="C66" s="126">
        <v>265148</v>
      </c>
      <c r="D66" s="126">
        <f>476736-C66</f>
        <v>211588</v>
      </c>
      <c r="E66" s="126">
        <f>651647-D66-C66</f>
        <v>174911</v>
      </c>
      <c r="F66" s="126">
        <f>906431-E66-D66-C66</f>
        <v>254784</v>
      </c>
      <c r="G66" s="126">
        <f t="shared" si="0"/>
        <v>906431</v>
      </c>
    </row>
    <row r="67" spans="1:7" ht="15.75">
      <c r="A67" s="94" t="s">
        <v>16</v>
      </c>
      <c r="B67" s="85" t="s">
        <v>66</v>
      </c>
      <c r="C67" s="126">
        <v>16621</v>
      </c>
      <c r="D67" s="126">
        <f>31535-C67</f>
        <v>14914</v>
      </c>
      <c r="E67" s="126">
        <f>200594-D67-C67</f>
        <v>169059</v>
      </c>
      <c r="F67" s="126">
        <f>270344-E67-D67-C67</f>
        <v>69750</v>
      </c>
      <c r="G67" s="126">
        <f t="shared" si="0"/>
        <v>270344</v>
      </c>
    </row>
    <row r="68" spans="1:7" ht="15.75">
      <c r="A68" s="82" t="s">
        <v>16</v>
      </c>
      <c r="B68" s="85" t="s">
        <v>67</v>
      </c>
      <c r="C68" s="126">
        <v>49685</v>
      </c>
      <c r="D68" s="126">
        <f>98191-C68</f>
        <v>48506</v>
      </c>
      <c r="E68" s="126">
        <f>145336-D68-C68</f>
        <v>47145</v>
      </c>
      <c r="F68" s="126">
        <f>195641-E68-D68-C68</f>
        <v>50305</v>
      </c>
      <c r="G68" s="126">
        <f t="shared" si="0"/>
        <v>195641</v>
      </c>
    </row>
    <row r="69" spans="1:7" ht="15.75">
      <c r="A69" s="82" t="s">
        <v>16</v>
      </c>
      <c r="B69" s="85" t="s">
        <v>68</v>
      </c>
      <c r="C69" s="132">
        <v>146975</v>
      </c>
      <c r="D69" s="132">
        <f>261748-C69</f>
        <v>114773</v>
      </c>
      <c r="E69" s="132">
        <f>366393-D69-C69</f>
        <v>104645</v>
      </c>
      <c r="F69" s="126">
        <f>511929-E69-D69-C69</f>
        <v>145536</v>
      </c>
      <c r="G69" s="126">
        <f t="shared" si="0"/>
        <v>511929</v>
      </c>
    </row>
    <row r="70" spans="1:7" ht="15.75">
      <c r="A70" s="94" t="s">
        <v>16</v>
      </c>
      <c r="B70" s="85" t="s">
        <v>82</v>
      </c>
      <c r="C70" s="132">
        <v>10203</v>
      </c>
      <c r="D70" s="126">
        <v>12380.41</v>
      </c>
      <c r="E70" s="132">
        <f>34832-D70-C70</f>
        <v>12248.59</v>
      </c>
      <c r="F70" s="126">
        <f>47915-E70-D70-C70</f>
        <v>13083.000000000004</v>
      </c>
      <c r="G70" s="126">
        <f t="shared" si="0"/>
        <v>47915</v>
      </c>
    </row>
    <row r="71" spans="1:7" ht="15.75">
      <c r="A71" s="82" t="s">
        <v>22</v>
      </c>
      <c r="B71" s="85" t="s">
        <v>69</v>
      </c>
      <c r="C71" s="132">
        <v>561.19000000000005</v>
      </c>
      <c r="D71" s="126">
        <f>1144.83-C71</f>
        <v>583.63999999999987</v>
      </c>
      <c r="E71" s="126">
        <f>1451.99-D71-C71</f>
        <v>307.16000000000008</v>
      </c>
      <c r="F71" s="126">
        <f>2021-E71-D71-C71</f>
        <v>569.01</v>
      </c>
      <c r="G71" s="126">
        <f t="shared" si="0"/>
        <v>2021</v>
      </c>
    </row>
    <row r="72" spans="1:7">
      <c r="A72" s="45"/>
      <c r="B72" s="46"/>
      <c r="C72" s="126"/>
      <c r="D72" s="126"/>
      <c r="E72" s="126"/>
      <c r="F72" s="126"/>
      <c r="G72" s="126"/>
    </row>
    <row r="73" spans="1:7" ht="15.75">
      <c r="A73" s="68"/>
      <c r="B73" s="129" t="s">
        <v>70</v>
      </c>
      <c r="C73" s="126">
        <f>SUM(C8:C72)</f>
        <v>11675458.140000001</v>
      </c>
      <c r="D73" s="126">
        <f>SUM(D8:D72)</f>
        <v>10666340.790000003</v>
      </c>
      <c r="E73" s="126">
        <f>SUM(E8:E72)</f>
        <v>6996695.5500000007</v>
      </c>
      <c r="F73" s="126">
        <f>SUM(F8:F72)</f>
        <v>10449280.659999998</v>
      </c>
      <c r="G73" s="126">
        <f>SUM(G8:G72)</f>
        <v>39787775.139999993</v>
      </c>
    </row>
    <row r="74" spans="1:7">
      <c r="A74" t="s">
        <v>0</v>
      </c>
      <c r="G74">
        <f>C73+D73+E73+F73</f>
        <v>39787775.140000001</v>
      </c>
    </row>
    <row r="75" spans="1:7">
      <c r="A75" t="s">
        <v>136</v>
      </c>
    </row>
    <row r="76" spans="1:7">
      <c r="A76" t="s">
        <v>137</v>
      </c>
    </row>
    <row r="78" spans="1:7">
      <c r="A78" t="s">
        <v>149</v>
      </c>
    </row>
    <row r="79" spans="1:7">
      <c r="A79" t="s">
        <v>150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I38"/>
  <sheetViews>
    <sheetView workbookViewId="0">
      <selection activeCell="I17" sqref="I17"/>
    </sheetView>
  </sheetViews>
  <sheetFormatPr defaultRowHeight="15"/>
  <cols>
    <col min="4" max="4" width="11.21875" customWidth="1"/>
    <col min="5" max="5" width="9.5546875" customWidth="1"/>
    <col min="6" max="6" width="9.5546875" bestFit="1" customWidth="1"/>
    <col min="7" max="7" width="8.44140625" bestFit="1" customWidth="1"/>
    <col min="8" max="8" width="9.21875" bestFit="1" customWidth="1"/>
    <col min="9" max="9" width="12.6640625" bestFit="1" customWidth="1"/>
  </cols>
  <sheetData>
    <row r="1" spans="1:9">
      <c r="B1" s="2"/>
      <c r="C1" s="2"/>
      <c r="D1" s="134" t="s">
        <v>83</v>
      </c>
      <c r="E1" s="2" t="s">
        <v>84</v>
      </c>
      <c r="F1" s="2"/>
    </row>
    <row r="2" spans="1:9">
      <c r="A2" s="5" t="s">
        <v>138</v>
      </c>
      <c r="B2" s="4"/>
      <c r="C2" s="4"/>
      <c r="D2" s="4"/>
      <c r="E2" s="4" t="s">
        <v>112</v>
      </c>
      <c r="F2" s="4"/>
    </row>
    <row r="3" spans="1:9">
      <c r="A3" s="5" t="s">
        <v>139</v>
      </c>
      <c r="B3" s="4"/>
      <c r="C3" s="4"/>
      <c r="D3" s="4"/>
      <c r="E3" s="4" t="s">
        <v>141</v>
      </c>
      <c r="F3" s="4"/>
    </row>
    <row r="4" spans="1:9">
      <c r="A4" s="7"/>
      <c r="B4" s="8"/>
      <c r="C4" s="8"/>
      <c r="D4" s="8"/>
      <c r="E4" s="56"/>
      <c r="F4" s="56"/>
      <c r="G4" s="56"/>
      <c r="H4" s="56"/>
      <c r="I4" s="56"/>
    </row>
    <row r="5" spans="1:9">
      <c r="A5" s="10"/>
      <c r="B5" s="11"/>
      <c r="C5" s="11"/>
      <c r="D5" s="11"/>
      <c r="E5" s="57" t="s">
        <v>87</v>
      </c>
      <c r="F5" s="57" t="s">
        <v>88</v>
      </c>
      <c r="G5" s="57" t="s">
        <v>89</v>
      </c>
      <c r="H5" s="57" t="s">
        <v>90</v>
      </c>
      <c r="I5" s="119"/>
    </row>
    <row r="6" spans="1:9">
      <c r="A6" s="10"/>
      <c r="B6" s="11"/>
      <c r="C6" s="11"/>
      <c r="D6" s="11"/>
      <c r="E6" s="116" t="s">
        <v>73</v>
      </c>
      <c r="F6" s="57" t="s">
        <v>73</v>
      </c>
      <c r="G6" s="57" t="s">
        <v>73</v>
      </c>
      <c r="H6" s="57" t="s">
        <v>73</v>
      </c>
      <c r="I6" s="57" t="s">
        <v>9</v>
      </c>
    </row>
    <row r="7" spans="1:9" ht="16.5">
      <c r="A7" s="10"/>
      <c r="B7" s="11"/>
      <c r="C7" s="18" t="s">
        <v>91</v>
      </c>
      <c r="D7" s="11"/>
      <c r="E7" s="125" t="s">
        <v>92</v>
      </c>
      <c r="F7" s="125" t="s">
        <v>93</v>
      </c>
      <c r="G7" s="125" t="s">
        <v>94</v>
      </c>
      <c r="H7" s="125" t="s">
        <v>95</v>
      </c>
      <c r="I7" s="125" t="s">
        <v>15</v>
      </c>
    </row>
    <row r="8" spans="1:9">
      <c r="A8" s="1"/>
      <c r="B8" s="2"/>
      <c r="C8" s="2"/>
      <c r="D8" s="2"/>
      <c r="E8" s="117"/>
      <c r="F8" s="117"/>
      <c r="G8" s="117"/>
      <c r="H8" s="117"/>
      <c r="I8" s="118">
        <f t="shared" ref="I8:I29" si="0">SUM(E8:H8)</f>
        <v>0</v>
      </c>
    </row>
    <row r="9" spans="1:9" ht="16.5">
      <c r="A9" s="17" t="s">
        <v>16</v>
      </c>
      <c r="B9" s="18"/>
      <c r="C9" s="18" t="s">
        <v>96</v>
      </c>
      <c r="D9" s="18"/>
      <c r="E9" s="133">
        <v>29433</v>
      </c>
      <c r="F9" s="118">
        <v>9030</v>
      </c>
      <c r="G9" s="133">
        <v>11100</v>
      </c>
      <c r="H9" s="133">
        <v>13675</v>
      </c>
      <c r="I9" s="118">
        <f t="shared" si="0"/>
        <v>63238</v>
      </c>
    </row>
    <row r="10" spans="1:9" ht="16.5">
      <c r="A10" s="123"/>
      <c r="B10" s="21"/>
      <c r="C10" s="21" t="s">
        <v>0</v>
      </c>
      <c r="D10" s="21"/>
      <c r="E10" s="117"/>
      <c r="F10" s="117"/>
      <c r="G10" s="117"/>
      <c r="H10" s="117"/>
      <c r="I10" s="118">
        <f t="shared" si="0"/>
        <v>0</v>
      </c>
    </row>
    <row r="11" spans="1:9" ht="16.5">
      <c r="A11" s="23">
        <v>0.05</v>
      </c>
      <c r="B11" s="18"/>
      <c r="C11" s="18" t="s">
        <v>142</v>
      </c>
      <c r="D11" s="18"/>
      <c r="E11" s="118">
        <v>18126</v>
      </c>
      <c r="F11" s="118">
        <v>16136</v>
      </c>
      <c r="G11" s="133">
        <v>10494</v>
      </c>
      <c r="H11" s="133">
        <v>25532</v>
      </c>
      <c r="I11" s="118">
        <f t="shared" si="0"/>
        <v>70288</v>
      </c>
    </row>
    <row r="12" spans="1:9" ht="16.5">
      <c r="A12" s="123"/>
      <c r="B12" s="21"/>
      <c r="C12" s="21" t="s">
        <v>0</v>
      </c>
      <c r="D12" s="21"/>
      <c r="E12" s="127"/>
      <c r="F12" s="127"/>
      <c r="G12" s="127"/>
      <c r="H12" s="127"/>
      <c r="I12" s="118">
        <f t="shared" si="0"/>
        <v>0</v>
      </c>
    </row>
    <row r="13" spans="1:9" ht="16.5">
      <c r="A13" s="23">
        <v>0.04</v>
      </c>
      <c r="B13" s="18"/>
      <c r="C13" s="18" t="s">
        <v>98</v>
      </c>
      <c r="D13" s="18"/>
      <c r="E13" s="118">
        <v>20183</v>
      </c>
      <c r="F13" s="118">
        <v>12896</v>
      </c>
      <c r="G13" s="118">
        <v>12362</v>
      </c>
      <c r="H13" s="118">
        <v>12213</v>
      </c>
      <c r="I13" s="118">
        <f t="shared" si="0"/>
        <v>57654</v>
      </c>
    </row>
    <row r="14" spans="1:9" ht="16.5">
      <c r="A14" s="123"/>
      <c r="B14" s="21"/>
      <c r="C14" s="21" t="s">
        <v>0</v>
      </c>
      <c r="D14" s="21"/>
      <c r="E14" s="117"/>
      <c r="F14" s="117"/>
      <c r="G14" s="117"/>
      <c r="H14" s="117"/>
      <c r="I14" s="118">
        <f t="shared" si="0"/>
        <v>0</v>
      </c>
    </row>
    <row r="15" spans="1:9" ht="16.5">
      <c r="A15" s="124">
        <v>0.05</v>
      </c>
      <c r="B15" s="39"/>
      <c r="C15" s="43" t="s">
        <v>47</v>
      </c>
      <c r="D15" s="39"/>
      <c r="E15" s="133">
        <v>76481</v>
      </c>
      <c r="F15" s="118">
        <v>48943</v>
      </c>
      <c r="G15" s="118">
        <v>36836</v>
      </c>
      <c r="H15" s="118">
        <v>47951</v>
      </c>
      <c r="I15" s="118">
        <f t="shared" si="0"/>
        <v>210211</v>
      </c>
    </row>
    <row r="16" spans="1:9" ht="16.5">
      <c r="A16" s="123"/>
      <c r="B16" s="21"/>
      <c r="C16" s="21"/>
      <c r="D16" s="21"/>
      <c r="E16" s="117"/>
      <c r="F16" s="117"/>
      <c r="G16" s="117"/>
      <c r="H16" s="117"/>
      <c r="I16" s="118">
        <f t="shared" si="0"/>
        <v>0</v>
      </c>
    </row>
    <row r="17" spans="1:9" ht="16.5">
      <c r="A17" s="124">
        <v>0.05</v>
      </c>
      <c r="B17" s="18"/>
      <c r="C17" s="18" t="s">
        <v>99</v>
      </c>
      <c r="D17" s="120" t="s">
        <v>0</v>
      </c>
      <c r="E17" s="118">
        <v>174</v>
      </c>
      <c r="F17" s="118">
        <v>723</v>
      </c>
      <c r="G17" s="118">
        <v>970</v>
      </c>
      <c r="H17" s="118">
        <v>584</v>
      </c>
      <c r="I17" s="118">
        <f t="shared" si="0"/>
        <v>2451</v>
      </c>
    </row>
    <row r="18" spans="1:9" ht="16.5">
      <c r="A18" s="123"/>
      <c r="B18" s="21"/>
      <c r="C18" s="21" t="s">
        <v>0</v>
      </c>
      <c r="D18" s="21"/>
      <c r="E18" s="117"/>
      <c r="F18" s="117"/>
      <c r="G18" s="117"/>
      <c r="H18" s="117"/>
      <c r="I18" s="118">
        <f t="shared" si="0"/>
        <v>0</v>
      </c>
    </row>
    <row r="19" spans="1:9" ht="16.5">
      <c r="A19" s="23">
        <v>0.03</v>
      </c>
      <c r="B19" s="18"/>
      <c r="C19" s="18" t="s">
        <v>101</v>
      </c>
      <c r="D19" s="18"/>
      <c r="E19" s="133">
        <v>13814</v>
      </c>
      <c r="F19" s="118">
        <v>17486</v>
      </c>
      <c r="G19" s="118">
        <v>22911</v>
      </c>
      <c r="H19" s="118">
        <v>4979</v>
      </c>
      <c r="I19" s="118">
        <f t="shared" si="0"/>
        <v>59190</v>
      </c>
    </row>
    <row r="20" spans="1:9" ht="16.5">
      <c r="A20" s="123"/>
      <c r="B20" s="21"/>
      <c r="C20" s="21"/>
      <c r="D20" s="21"/>
      <c r="E20" s="117"/>
      <c r="F20" s="117"/>
      <c r="G20" s="117"/>
      <c r="H20" s="117"/>
      <c r="I20" s="118">
        <f t="shared" si="0"/>
        <v>0</v>
      </c>
    </row>
    <row r="21" spans="1:9" ht="16.5">
      <c r="A21" s="23">
        <v>0.05</v>
      </c>
      <c r="B21" s="18"/>
      <c r="C21" s="18" t="s">
        <v>102</v>
      </c>
      <c r="D21" s="18"/>
      <c r="E21" s="118">
        <v>6116</v>
      </c>
      <c r="F21" s="118">
        <v>3199</v>
      </c>
      <c r="G21" s="133">
        <v>1788</v>
      </c>
      <c r="H21" s="133">
        <v>4498</v>
      </c>
      <c r="I21" s="118">
        <f t="shared" si="0"/>
        <v>15601</v>
      </c>
    </row>
    <row r="22" spans="1:9" ht="16.5">
      <c r="A22" s="123"/>
      <c r="B22" s="21"/>
      <c r="C22" s="21"/>
      <c r="D22" s="21"/>
      <c r="E22" s="117"/>
      <c r="F22" s="117"/>
      <c r="G22" s="117"/>
      <c r="H22" s="117"/>
      <c r="I22" s="118">
        <f t="shared" si="0"/>
        <v>0</v>
      </c>
    </row>
    <row r="23" spans="1:9" ht="16.5">
      <c r="A23" s="23">
        <v>0.05</v>
      </c>
      <c r="B23" s="18"/>
      <c r="C23" s="18" t="s">
        <v>103</v>
      </c>
      <c r="D23" s="18"/>
      <c r="E23" s="118">
        <v>15582</v>
      </c>
      <c r="F23" s="118">
        <v>4777</v>
      </c>
      <c r="G23" s="118">
        <v>928</v>
      </c>
      <c r="H23" s="133">
        <v>4798</v>
      </c>
      <c r="I23" s="118">
        <f t="shared" si="0"/>
        <v>26085</v>
      </c>
    </row>
    <row r="24" spans="1:9" ht="16.5">
      <c r="A24" s="123"/>
      <c r="B24" s="21"/>
      <c r="C24" s="21" t="s">
        <v>0</v>
      </c>
      <c r="D24" s="21"/>
      <c r="E24" s="117"/>
      <c r="F24" s="117"/>
      <c r="G24" s="117"/>
      <c r="H24" s="117"/>
      <c r="I24" s="118">
        <f t="shared" si="0"/>
        <v>0</v>
      </c>
    </row>
    <row r="25" spans="1:9" ht="16.5">
      <c r="A25" s="23">
        <v>0.04</v>
      </c>
      <c r="B25" s="18"/>
      <c r="C25" s="18" t="s">
        <v>104</v>
      </c>
      <c r="D25" s="18"/>
      <c r="E25" s="118">
        <v>154533</v>
      </c>
      <c r="F25" s="118">
        <v>120645</v>
      </c>
      <c r="G25" s="118">
        <v>53054</v>
      </c>
      <c r="H25" s="118">
        <v>96486</v>
      </c>
      <c r="I25" s="118">
        <f t="shared" si="0"/>
        <v>424718</v>
      </c>
    </row>
    <row r="26" spans="1:9" ht="16.5">
      <c r="A26" s="123"/>
      <c r="B26" s="21"/>
      <c r="C26" s="21" t="s">
        <v>0</v>
      </c>
      <c r="D26" s="21"/>
      <c r="E26" s="117"/>
      <c r="F26" s="117"/>
      <c r="G26" s="117"/>
      <c r="H26" s="117"/>
      <c r="I26" s="118">
        <f t="shared" si="0"/>
        <v>0</v>
      </c>
    </row>
    <row r="27" spans="1:9" ht="16.5">
      <c r="A27" s="17" t="s">
        <v>22</v>
      </c>
      <c r="B27" s="18"/>
      <c r="C27" s="18" t="s">
        <v>105</v>
      </c>
      <c r="D27" s="18"/>
      <c r="E27" s="118">
        <v>1226</v>
      </c>
      <c r="F27" s="118">
        <v>1700</v>
      </c>
      <c r="G27" s="118">
        <v>1122</v>
      </c>
      <c r="H27" s="118">
        <v>1064</v>
      </c>
      <c r="I27" s="118">
        <f t="shared" si="0"/>
        <v>5112</v>
      </c>
    </row>
    <row r="28" spans="1:9" ht="16.5">
      <c r="A28" s="123"/>
      <c r="B28" s="21"/>
      <c r="C28" s="21"/>
      <c r="D28" s="21"/>
      <c r="E28" s="117"/>
      <c r="F28" s="117"/>
      <c r="G28" s="117"/>
      <c r="H28" s="117"/>
      <c r="I28" s="118">
        <f t="shared" si="0"/>
        <v>0</v>
      </c>
    </row>
    <row r="29" spans="1:9" ht="16.5">
      <c r="A29" s="23">
        <v>0.03</v>
      </c>
      <c r="B29" s="18"/>
      <c r="C29" s="18" t="s">
        <v>134</v>
      </c>
      <c r="D29" s="18"/>
      <c r="E29" s="118">
        <v>139</v>
      </c>
      <c r="F29" s="118">
        <v>788</v>
      </c>
      <c r="G29" s="133">
        <v>1520</v>
      </c>
      <c r="H29" s="118">
        <v>206</v>
      </c>
      <c r="I29" s="118">
        <f t="shared" si="0"/>
        <v>2653</v>
      </c>
    </row>
    <row r="30" spans="1:9" ht="16.5">
      <c r="A30" s="123"/>
      <c r="B30" s="21"/>
      <c r="C30" s="21" t="s">
        <v>0</v>
      </c>
      <c r="D30" s="21"/>
      <c r="E30" s="117"/>
      <c r="F30" s="117"/>
      <c r="G30" s="117"/>
      <c r="H30" s="117"/>
      <c r="I30" s="118" t="s">
        <v>0</v>
      </c>
    </row>
    <row r="31" spans="1:9" ht="16.5">
      <c r="A31" s="23">
        <v>0.05</v>
      </c>
      <c r="B31" s="18"/>
      <c r="C31" s="18" t="s">
        <v>65</v>
      </c>
      <c r="D31" s="121"/>
      <c r="E31" s="133">
        <v>95476</v>
      </c>
      <c r="F31" s="118">
        <v>72613</v>
      </c>
      <c r="G31" s="118">
        <v>61587</v>
      </c>
      <c r="H31" s="118">
        <v>66833</v>
      </c>
      <c r="I31" s="118">
        <f>SUM(E31:H31)</f>
        <v>296509</v>
      </c>
    </row>
    <row r="32" spans="1:9" ht="16.5">
      <c r="A32" s="20"/>
      <c r="B32" s="21"/>
      <c r="C32" s="21"/>
      <c r="D32" s="21"/>
      <c r="E32" s="117"/>
      <c r="F32" s="117"/>
      <c r="G32" s="117"/>
      <c r="H32" s="117"/>
      <c r="I32" s="117"/>
    </row>
    <row r="33" spans="1:9" ht="17.25" thickBot="1">
      <c r="A33" s="27"/>
      <c r="B33" s="28"/>
      <c r="C33" s="28" t="s">
        <v>106</v>
      </c>
      <c r="D33" s="28"/>
      <c r="E33" s="118">
        <f>SUM(E9:E32)</f>
        <v>431283</v>
      </c>
      <c r="F33" s="118">
        <f>SUM(F9:F32)</f>
        <v>308936</v>
      </c>
      <c r="G33" s="118">
        <f>SUM(G9:G32)</f>
        <v>214672</v>
      </c>
      <c r="H33" s="118">
        <f>SUM(H9:H32)</f>
        <v>278819</v>
      </c>
      <c r="I33" s="118">
        <f>SUM(I9:I32)</f>
        <v>1233710</v>
      </c>
    </row>
    <row r="34" spans="1:9" ht="15.75" thickTop="1">
      <c r="A34" s="5"/>
      <c r="B34" s="4"/>
      <c r="C34" s="4"/>
      <c r="D34" s="4"/>
      <c r="I34">
        <f>SUM(E33:H33)</f>
        <v>1233710</v>
      </c>
    </row>
    <row r="35" spans="1:9" ht="15.75">
      <c r="A35" s="31" t="s">
        <v>143</v>
      </c>
      <c r="B35" s="32"/>
    </row>
    <row r="36" spans="1:9" ht="15.75">
      <c r="A36" s="33" t="s">
        <v>0</v>
      </c>
      <c r="B36" s="4"/>
      <c r="C36" s="4"/>
      <c r="D36" s="4"/>
    </row>
    <row r="37" spans="1:9">
      <c r="A37" s="122" t="s">
        <v>0</v>
      </c>
    </row>
    <row r="38" spans="1:9">
      <c r="A38" t="s">
        <v>0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tns:customPropertyEditors xmlns:tns="http://schemas.microsoft.com/office/2006/customDocumentInformationPanel">
  <tns:showOnOpen>false</tns:showOnOpen>
  <tns:defaultPropertyEditorNamespace>Standard properties</tns:defaultPropertyEditorNamespace>
</tns:customPropertyEditors>
</file>

<file path=customXml/itemProps1.xml><?xml version="1.0" encoding="utf-8"?>
<ds:datastoreItem xmlns:ds="http://schemas.openxmlformats.org/officeDocument/2006/customXml" ds:itemID="{3AC4C3CE-E236-4BE4-AC38-B3F06F876AE5}">
  <ds:schemaRefs>
    <ds:schemaRef ds:uri="http://schemas.microsoft.com/office/2006/customDocumentInformationPan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6</vt:i4>
      </vt:variant>
    </vt:vector>
  </HeadingPairs>
  <TitlesOfParts>
    <vt:vector size="18" baseType="lpstr">
      <vt:lpstr>LTaxCounty10</vt:lpstr>
      <vt:lpstr>LTaxMuni10</vt:lpstr>
      <vt:lpstr>LTaxCounty11</vt:lpstr>
      <vt:lpstr>LTaxMuni11</vt:lpstr>
      <vt:lpstr>LTaxCounty12</vt:lpstr>
      <vt:lpstr>LTaxMuni12</vt:lpstr>
      <vt:lpstr>LTax County 13</vt:lpstr>
      <vt:lpstr>LTax Muni 13</vt:lpstr>
      <vt:lpstr>LTax County 14</vt:lpstr>
      <vt:lpstr>LTax Muni 14</vt:lpstr>
      <vt:lpstr>LTax County 2021</vt:lpstr>
      <vt:lpstr>LTax Muni 2021</vt:lpstr>
      <vt:lpstr>'LTax County 2021'!Print_Area</vt:lpstr>
      <vt:lpstr>'LTax Muni 2021'!Print_Area</vt:lpstr>
      <vt:lpstr>LTaxCounty10!Print_Area</vt:lpstr>
      <vt:lpstr>LTaxCounty11!Print_Area</vt:lpstr>
      <vt:lpstr>LTaxMuni10!Print_Area</vt:lpstr>
      <vt:lpstr>'LTax Muni 2021'!Print_Titles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Dixon</dc:creator>
  <cp:lastModifiedBy>Jim Green</cp:lastModifiedBy>
  <cp:lastPrinted>2022-12-07T18:08:34Z</cp:lastPrinted>
  <dcterms:created xsi:type="dcterms:W3CDTF">2000-10-10T16:59:58Z</dcterms:created>
  <dcterms:modified xsi:type="dcterms:W3CDTF">2022-12-07T22:30:41Z</dcterms:modified>
</cp:coreProperties>
</file>