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udget and Finance Bureau\Special Projects\Lodgers Tax\Lodgers Tax Summary REPORTS\FY 2024 Lodgers Tax Report\"/>
    </mc:Choice>
  </mc:AlternateContent>
  <xr:revisionPtr revIDLastSave="0" documentId="13_ncr:1_{30A29835-4030-48AC-98A1-FDCE5F92690A}" xr6:coauthVersionLast="47" xr6:coauthVersionMax="47" xr10:uidLastSave="{00000000-0000-0000-0000-000000000000}"/>
  <bookViews>
    <workbookView xWindow="-108" yWindow="-108" windowWidth="23256" windowHeight="13896" tabRatio="731" firstSheet="8" activeTab="9" xr2:uid="{00000000-000D-0000-FFFF-FFFF00000000}"/>
  </bookViews>
  <sheets>
    <sheet name="LTaxCounty10" sheetId="2" state="hidden" r:id="rId1"/>
    <sheet name="LTaxMuni11" sheetId="4" state="hidden" r:id="rId2"/>
    <sheet name="LTaxCounty12" sheetId="5" state="hidden" r:id="rId3"/>
    <sheet name="LTaxMuni12" sheetId="6" state="hidden" r:id="rId4"/>
    <sheet name="LTax County 13" sheetId="7" state="hidden" r:id="rId5"/>
    <sheet name="LTax Muni 13" sheetId="8" state="hidden" r:id="rId6"/>
    <sheet name="LTax County 14" sheetId="9" state="hidden" r:id="rId7"/>
    <sheet name="LTax Muni 14" sheetId="10" state="hidden" r:id="rId8"/>
    <sheet name="LTax County 2024" sheetId="13" r:id="rId9"/>
    <sheet name="LTax Muni 2024" sheetId="14" r:id="rId10"/>
  </sheets>
  <definedNames>
    <definedName name="_xlnm.Print_Area" localSheetId="8">'LTax County 2024'!$A$1:$K$39</definedName>
    <definedName name="_xlnm.Print_Area" localSheetId="9">'LTax Muni 2024'!$B$2:$H$88</definedName>
    <definedName name="_xlnm.Print_Area" localSheetId="0">LTaxCounty10!$A$1:$K$38</definedName>
    <definedName name="_xlnm.Print_Titles" localSheetId="9">'LTax Muni 2024'!$2:$9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4" l="1"/>
  <c r="H19" i="14" l="1"/>
  <c r="J16" i="13"/>
  <c r="H27" i="14" l="1"/>
  <c r="G38" i="13"/>
  <c r="H38" i="13"/>
  <c r="I38" i="13"/>
  <c r="F38" i="13"/>
  <c r="J39" i="13" l="1"/>
  <c r="H71" i="14"/>
  <c r="H14" i="14"/>
  <c r="H37" i="14"/>
  <c r="H39" i="14"/>
  <c r="H32" i="14"/>
  <c r="J14" i="13"/>
  <c r="H17" i="14"/>
  <c r="H16" i="14"/>
  <c r="H12" i="14"/>
  <c r="J30" i="13"/>
  <c r="H38" i="14" l="1"/>
  <c r="H35" i="14"/>
  <c r="H34" i="14"/>
  <c r="H36" i="14" l="1"/>
  <c r="J26" i="13"/>
  <c r="J10" i="13"/>
  <c r="J34" i="13" l="1"/>
  <c r="J32" i="13"/>
  <c r="J28" i="13"/>
  <c r="J22" i="13"/>
  <c r="H73" i="14" l="1"/>
  <c r="J12" i="13"/>
  <c r="J24" i="13"/>
  <c r="J36" i="13" l="1"/>
  <c r="J18" i="13"/>
  <c r="H11" i="14"/>
  <c r="H13" i="14"/>
  <c r="H15" i="14"/>
  <c r="H18" i="14"/>
  <c r="H20" i="14"/>
  <c r="H21" i="14"/>
  <c r="H22" i="14"/>
  <c r="H23" i="14"/>
  <c r="H24" i="14"/>
  <c r="H25" i="14"/>
  <c r="H26" i="14"/>
  <c r="H28" i="14"/>
  <c r="H29" i="14"/>
  <c r="H30" i="14"/>
  <c r="H31" i="14"/>
  <c r="H33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2" i="14"/>
  <c r="H74" i="14"/>
  <c r="H75" i="14"/>
  <c r="H76" i="14"/>
  <c r="H77" i="14"/>
  <c r="H78" i="14"/>
  <c r="H79" i="14"/>
  <c r="H10" i="14"/>
  <c r="J38" i="13" l="1"/>
  <c r="H83" i="14"/>
  <c r="E83" i="14"/>
  <c r="D83" i="14"/>
  <c r="F83" i="14"/>
  <c r="D24" i="10"/>
  <c r="C24" i="10"/>
  <c r="F24" i="4"/>
  <c r="F30" i="4"/>
  <c r="E32" i="4"/>
  <c r="F32" i="4" s="1"/>
  <c r="E41" i="4"/>
  <c r="F41" i="4" s="1"/>
  <c r="E45" i="4"/>
  <c r="E49" i="4"/>
  <c r="F49" i="4" s="1"/>
  <c r="E54" i="4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3" i="10" s="1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/>
  <c r="G33" i="9"/>
  <c r="E33" i="9"/>
  <c r="F33" i="9"/>
  <c r="C73" i="10"/>
  <c r="G1" i="10"/>
  <c r="H33" i="9"/>
  <c r="I34" i="9"/>
  <c r="D73" i="10"/>
  <c r="G74" i="10" s="1"/>
  <c r="E16" i="8"/>
  <c r="E73" i="10"/>
  <c r="E70" i="8"/>
  <c r="F70" i="8"/>
  <c r="F73" i="10"/>
  <c r="E49" i="8"/>
  <c r="F49" i="8"/>
  <c r="H13" i="7"/>
  <c r="G71" i="6"/>
  <c r="G61" i="6"/>
  <c r="G14" i="6"/>
  <c r="F24" i="6"/>
  <c r="G24" i="6" s="1"/>
  <c r="F15" i="6"/>
  <c r="G15" i="6"/>
  <c r="G9" i="6"/>
  <c r="G8" i="6"/>
  <c r="I29" i="5"/>
  <c r="J29" i="5" s="1"/>
  <c r="G70" i="8"/>
  <c r="G49" i="8"/>
  <c r="G15" i="8"/>
  <c r="E14" i="8"/>
  <c r="D55" i="8"/>
  <c r="G55" i="8" s="1"/>
  <c r="E55" i="8"/>
  <c r="F55" i="8"/>
  <c r="I13" i="7"/>
  <c r="D39" i="8"/>
  <c r="E39" i="8" s="1"/>
  <c r="F39" i="8" s="1"/>
  <c r="F23" i="7"/>
  <c r="G23" i="7"/>
  <c r="H23" i="7" s="1"/>
  <c r="F29" i="7"/>
  <c r="G29" i="7" s="1"/>
  <c r="D21" i="8"/>
  <c r="G21" i="8" s="1"/>
  <c r="E21" i="8"/>
  <c r="F21" i="8" s="1"/>
  <c r="D44" i="8"/>
  <c r="E44" i="8" s="1"/>
  <c r="F44" i="8" s="1"/>
  <c r="D65" i="8"/>
  <c r="E65" i="8"/>
  <c r="F65" i="8" s="1"/>
  <c r="D25" i="8"/>
  <c r="E25" i="8" s="1"/>
  <c r="D26" i="8"/>
  <c r="E26" i="8"/>
  <c r="F26" i="8" s="1"/>
  <c r="D27" i="8"/>
  <c r="F19" i="7"/>
  <c r="G19" i="7" s="1"/>
  <c r="H19" i="7" s="1"/>
  <c r="F21" i="7"/>
  <c r="G21" i="7" s="1"/>
  <c r="H21" i="7" s="1"/>
  <c r="I19" i="7"/>
  <c r="E27" i="8"/>
  <c r="G27" i="8" s="1"/>
  <c r="F27" i="8"/>
  <c r="D19" i="8"/>
  <c r="G19" i="8" s="1"/>
  <c r="D48" i="8"/>
  <c r="F11" i="7"/>
  <c r="G11" i="7" s="1"/>
  <c r="H11" i="7" s="1"/>
  <c r="E19" i="8"/>
  <c r="F19" i="8"/>
  <c r="D61" i="8"/>
  <c r="E61" i="8" s="1"/>
  <c r="D60" i="8"/>
  <c r="D46" i="8"/>
  <c r="E60" i="8"/>
  <c r="F60" i="8" s="1"/>
  <c r="E46" i="8"/>
  <c r="F17" i="7"/>
  <c r="D14" i="8"/>
  <c r="D12" i="8"/>
  <c r="D10" i="8"/>
  <c r="D69" i="8"/>
  <c r="D41" i="8"/>
  <c r="D40" i="8"/>
  <c r="F27" i="7"/>
  <c r="D64" i="8"/>
  <c r="D31" i="8"/>
  <c r="E31" i="8" s="1"/>
  <c r="D35" i="8"/>
  <c r="D16" i="8"/>
  <c r="F16" i="8"/>
  <c r="G16" i="8" s="1"/>
  <c r="E41" i="8"/>
  <c r="F41" i="8" s="1"/>
  <c r="E10" i="8"/>
  <c r="F10" i="8" s="1"/>
  <c r="F14" i="8"/>
  <c r="E64" i="8"/>
  <c r="E40" i="8"/>
  <c r="F40" i="8" s="1"/>
  <c r="G40" i="8" s="1"/>
  <c r="E69" i="8"/>
  <c r="G69" i="8" s="1"/>
  <c r="F69" i="8"/>
  <c r="G17" i="7"/>
  <c r="I17" i="7"/>
  <c r="D45" i="8"/>
  <c r="D63" i="8"/>
  <c r="E63" i="8" s="1"/>
  <c r="F63" i="8" s="1"/>
  <c r="D30" i="8"/>
  <c r="D67" i="8"/>
  <c r="D52" i="8"/>
  <c r="D9" i="8"/>
  <c r="E9" i="8" s="1"/>
  <c r="F9" i="8"/>
  <c r="E67" i="8"/>
  <c r="G67" i="8" s="1"/>
  <c r="F67" i="8"/>
  <c r="E30" i="8"/>
  <c r="F30" i="8" s="1"/>
  <c r="E45" i="8"/>
  <c r="F45" i="8" s="1"/>
  <c r="F64" i="8"/>
  <c r="D34" i="8"/>
  <c r="E34" i="8"/>
  <c r="F34" i="8" s="1"/>
  <c r="D42" i="8"/>
  <c r="F31" i="7"/>
  <c r="D18" i="8"/>
  <c r="D53" i="8"/>
  <c r="D43" i="8"/>
  <c r="D66" i="8"/>
  <c r="E66" i="8" s="1"/>
  <c r="D37" i="8"/>
  <c r="D57" i="8"/>
  <c r="D62" i="8"/>
  <c r="D51" i="8"/>
  <c r="D20" i="8"/>
  <c r="D54" i="8"/>
  <c r="D56" i="8"/>
  <c r="D17" i="8"/>
  <c r="D23" i="8"/>
  <c r="E54" i="8"/>
  <c r="F54" i="8" s="1"/>
  <c r="E51" i="8"/>
  <c r="F51" i="8" s="1"/>
  <c r="E57" i="8"/>
  <c r="E53" i="8"/>
  <c r="F53" i="8" s="1"/>
  <c r="G53" i="8" s="1"/>
  <c r="G31" i="7"/>
  <c r="I31" i="7" s="1"/>
  <c r="H31" i="7"/>
  <c r="E23" i="8"/>
  <c r="G23" i="8" s="1"/>
  <c r="F23" i="8"/>
  <c r="E56" i="8"/>
  <c r="F56" i="8"/>
  <c r="G56" i="8" s="1"/>
  <c r="E20" i="8"/>
  <c r="F20" i="8" s="1"/>
  <c r="E37" i="8"/>
  <c r="E43" i="8"/>
  <c r="F43" i="8" s="1"/>
  <c r="G43" i="8" s="1"/>
  <c r="E18" i="8"/>
  <c r="F18" i="8" s="1"/>
  <c r="G18" i="8"/>
  <c r="D32" i="8"/>
  <c r="E32" i="8"/>
  <c r="F32" i="8" s="1"/>
  <c r="D28" i="8"/>
  <c r="D33" i="8"/>
  <c r="D29" i="8"/>
  <c r="D50" i="8"/>
  <c r="D8" i="8"/>
  <c r="D36" i="8"/>
  <c r="F25" i="7"/>
  <c r="G25" i="7"/>
  <c r="H25" i="7" s="1"/>
  <c r="E8" i="8"/>
  <c r="F8" i="8" s="1"/>
  <c r="E29" i="8"/>
  <c r="F29" i="8" s="1"/>
  <c r="E50" i="8"/>
  <c r="F50" i="8" s="1"/>
  <c r="G50" i="8"/>
  <c r="E33" i="8"/>
  <c r="F33" i="8"/>
  <c r="G33" i="8" s="1"/>
  <c r="D24" i="8"/>
  <c r="E55" i="6"/>
  <c r="F55" i="6" s="1"/>
  <c r="G55" i="6" s="1"/>
  <c r="H55" i="6" s="1"/>
  <c r="D13" i="8"/>
  <c r="G13" i="8" s="1"/>
  <c r="E13" i="8"/>
  <c r="F13" i="8" s="1"/>
  <c r="E24" i="8"/>
  <c r="D68" i="8"/>
  <c r="D59" i="8"/>
  <c r="E68" i="8"/>
  <c r="F68" i="8"/>
  <c r="G68" i="8" s="1"/>
  <c r="F15" i="7"/>
  <c r="D38" i="8"/>
  <c r="G15" i="7"/>
  <c r="H15" i="7"/>
  <c r="I15" i="7"/>
  <c r="D22" i="8"/>
  <c r="E22" i="8" s="1"/>
  <c r="D11" i="8"/>
  <c r="F9" i="7"/>
  <c r="D58" i="8"/>
  <c r="E58" i="8" s="1"/>
  <c r="G9" i="7"/>
  <c r="D47" i="8"/>
  <c r="G47" i="8" s="1"/>
  <c r="E47" i="8"/>
  <c r="F47" i="8"/>
  <c r="D71" i="8"/>
  <c r="E71" i="8" s="1"/>
  <c r="C73" i="8"/>
  <c r="F33" i="7"/>
  <c r="E33" i="7"/>
  <c r="E25" i="6"/>
  <c r="F25" i="6" s="1"/>
  <c r="G25" i="6" s="1"/>
  <c r="H71" i="6"/>
  <c r="H59" i="6"/>
  <c r="H45" i="6"/>
  <c r="H24" i="6"/>
  <c r="H15" i="6"/>
  <c r="G1" i="8"/>
  <c r="K23" i="5"/>
  <c r="K13" i="5"/>
  <c r="E65" i="6"/>
  <c r="F65" i="6"/>
  <c r="G65" i="6"/>
  <c r="H19" i="5"/>
  <c r="I19" i="5" s="1"/>
  <c r="J19" i="5" s="1"/>
  <c r="K19" i="5" s="1"/>
  <c r="E61" i="6"/>
  <c r="H61" i="6" s="1"/>
  <c r="E60" i="6"/>
  <c r="F60" i="6"/>
  <c r="G60" i="6" s="1"/>
  <c r="E68" i="6"/>
  <c r="F68" i="6"/>
  <c r="G68" i="6" s="1"/>
  <c r="E17" i="6"/>
  <c r="H17" i="6"/>
  <c r="E41" i="6"/>
  <c r="E40" i="6"/>
  <c r="F40" i="6" s="1"/>
  <c r="G40" i="6" s="1"/>
  <c r="E11" i="6"/>
  <c r="F11" i="6" s="1"/>
  <c r="E69" i="6"/>
  <c r="E16" i="6"/>
  <c r="F69" i="6"/>
  <c r="G69" i="6" s="1"/>
  <c r="F16" i="6"/>
  <c r="H21" i="5"/>
  <c r="I21" i="5" s="1"/>
  <c r="J21" i="5" s="1"/>
  <c r="K21" i="5" s="1"/>
  <c r="E48" i="6"/>
  <c r="F48" i="6" s="1"/>
  <c r="G48" i="6" s="1"/>
  <c r="E14" i="6"/>
  <c r="H14" i="6" s="1"/>
  <c r="E13" i="6"/>
  <c r="F13" i="6" s="1"/>
  <c r="G13" i="6" s="1"/>
  <c r="E34" i="6"/>
  <c r="F34" i="6"/>
  <c r="G34" i="6" s="1"/>
  <c r="H34" i="6" s="1"/>
  <c r="E30" i="6"/>
  <c r="H13" i="6"/>
  <c r="F30" i="6"/>
  <c r="G30" i="6" s="1"/>
  <c r="E20" i="6"/>
  <c r="F20" i="6"/>
  <c r="G20" i="6" s="1"/>
  <c r="H20" i="6" s="1"/>
  <c r="E21" i="6"/>
  <c r="F21" i="6" s="1"/>
  <c r="G21" i="6" s="1"/>
  <c r="E26" i="6"/>
  <c r="F26" i="6"/>
  <c r="G26" i="6" s="1"/>
  <c r="E44" i="6"/>
  <c r="E27" i="6"/>
  <c r="H27" i="6" s="1"/>
  <c r="H30" i="5"/>
  <c r="H11" i="5"/>
  <c r="I11" i="5" s="1"/>
  <c r="J11" i="5" s="1"/>
  <c r="K11" i="5" s="1"/>
  <c r="I30" i="5"/>
  <c r="J30" i="5" s="1"/>
  <c r="K30" i="5" s="1"/>
  <c r="E57" i="6"/>
  <c r="F57" i="6"/>
  <c r="G57" i="6"/>
  <c r="E66" i="6"/>
  <c r="E49" i="6"/>
  <c r="E10" i="6"/>
  <c r="E56" i="6"/>
  <c r="E53" i="6"/>
  <c r="F53" i="6" s="1"/>
  <c r="G53" i="6" s="1"/>
  <c r="E18" i="6"/>
  <c r="F18" i="6" s="1"/>
  <c r="E9" i="6"/>
  <c r="H9" i="6"/>
  <c r="E33" i="6"/>
  <c r="E50" i="6"/>
  <c r="E19" i="6"/>
  <c r="E46" i="6"/>
  <c r="E70" i="6"/>
  <c r="E43" i="6"/>
  <c r="F43" i="6" s="1"/>
  <c r="G43" i="6" s="1"/>
  <c r="E63" i="6"/>
  <c r="F63" i="6" s="1"/>
  <c r="G63" i="6" s="1"/>
  <c r="H57" i="6"/>
  <c r="F19" i="6"/>
  <c r="G19" i="6"/>
  <c r="H19" i="6"/>
  <c r="F33" i="6"/>
  <c r="G33" i="6" s="1"/>
  <c r="H33" i="6" s="1"/>
  <c r="F56" i="6"/>
  <c r="G56" i="6"/>
  <c r="H56" i="6" s="1"/>
  <c r="F49" i="6"/>
  <c r="F46" i="6"/>
  <c r="G46" i="6" s="1"/>
  <c r="F50" i="6"/>
  <c r="F10" i="6"/>
  <c r="F66" i="6"/>
  <c r="G66" i="6"/>
  <c r="E31" i="6"/>
  <c r="F31" i="6" s="1"/>
  <c r="E67" i="6"/>
  <c r="E23" i="6"/>
  <c r="E37" i="6"/>
  <c r="F37" i="6" s="1"/>
  <c r="G37" i="6" s="1"/>
  <c r="H43" i="6"/>
  <c r="F67" i="6"/>
  <c r="G67" i="6"/>
  <c r="F23" i="6"/>
  <c r="G23" i="6" s="1"/>
  <c r="E52" i="6"/>
  <c r="H52" i="6" s="1"/>
  <c r="H67" i="6"/>
  <c r="F52" i="6"/>
  <c r="G52" i="6" s="1"/>
  <c r="E54" i="6"/>
  <c r="H17" i="5"/>
  <c r="I17" i="5" s="1"/>
  <c r="K17" i="5" s="1"/>
  <c r="E42" i="6"/>
  <c r="F42" i="6" s="1"/>
  <c r="E35" i="6"/>
  <c r="F35" i="6" s="1"/>
  <c r="G35" i="6" s="1"/>
  <c r="E64" i="6"/>
  <c r="E32" i="6"/>
  <c r="F32" i="6" s="1"/>
  <c r="G32" i="6" s="1"/>
  <c r="F54" i="6"/>
  <c r="G54" i="6"/>
  <c r="H27" i="5"/>
  <c r="I27" i="5" s="1"/>
  <c r="J27" i="5" s="1"/>
  <c r="K27" i="5" s="1"/>
  <c r="G32" i="5"/>
  <c r="H9" i="5"/>
  <c r="E51" i="6"/>
  <c r="E39" i="6"/>
  <c r="E28" i="6"/>
  <c r="F39" i="6"/>
  <c r="H39" i="6" s="1"/>
  <c r="G39" i="6"/>
  <c r="F28" i="6"/>
  <c r="G28" i="6" s="1"/>
  <c r="F51" i="6"/>
  <c r="G51" i="6" s="1"/>
  <c r="H51" i="6" s="1"/>
  <c r="E8" i="6"/>
  <c r="E29" i="6"/>
  <c r="E38" i="6"/>
  <c r="H25" i="5"/>
  <c r="I25" i="5" s="1"/>
  <c r="J25" i="5" s="1"/>
  <c r="K25" i="5" s="1"/>
  <c r="F29" i="6"/>
  <c r="G29" i="6"/>
  <c r="E12" i="6"/>
  <c r="F12" i="6" s="1"/>
  <c r="G12" i="6" s="1"/>
  <c r="H12" i="6"/>
  <c r="H15" i="5"/>
  <c r="I15" i="5" s="1"/>
  <c r="J15" i="5" s="1"/>
  <c r="K15" i="5" s="1"/>
  <c r="E22" i="6"/>
  <c r="F22" i="6" s="1"/>
  <c r="G22" i="6" s="1"/>
  <c r="E36" i="6"/>
  <c r="E58" i="6"/>
  <c r="F58" i="6" s="1"/>
  <c r="G58" i="6" s="1"/>
  <c r="F36" i="6"/>
  <c r="H58" i="6"/>
  <c r="H22" i="6"/>
  <c r="E47" i="6"/>
  <c r="F47" i="6" s="1"/>
  <c r="G47" i="6" s="1"/>
  <c r="E62" i="6"/>
  <c r="F62" i="6"/>
  <c r="H62" i="6" s="1"/>
  <c r="G62" i="6"/>
  <c r="F11" i="4"/>
  <c r="D72" i="6"/>
  <c r="H1" i="6"/>
  <c r="S1" i="5"/>
  <c r="D8" i="4"/>
  <c r="E8" i="4" s="1"/>
  <c r="D25" i="4"/>
  <c r="E25" i="4" s="1"/>
  <c r="F25" i="4" s="1"/>
  <c r="D64" i="4"/>
  <c r="D26" i="4"/>
  <c r="D10" i="4"/>
  <c r="E10" i="4" s="1"/>
  <c r="F10" i="4" s="1"/>
  <c r="D9" i="4"/>
  <c r="E9" i="4" s="1"/>
  <c r="F9" i="4" s="1"/>
  <c r="D53" i="4"/>
  <c r="D41" i="4"/>
  <c r="G41" i="4" s="1"/>
  <c r="D40" i="4"/>
  <c r="E40" i="4" s="1"/>
  <c r="D54" i="4"/>
  <c r="D63" i="4"/>
  <c r="D44" i="4"/>
  <c r="E44" i="4" s="1"/>
  <c r="F44" i="4" s="1"/>
  <c r="D34" i="4"/>
  <c r="E34" i="4" s="1"/>
  <c r="F34" i="4" s="1"/>
  <c r="E63" i="4"/>
  <c r="F63" i="4" s="1"/>
  <c r="D68" i="4"/>
  <c r="D69" i="4"/>
  <c r="E69" i="4"/>
  <c r="F69" i="4" s="1"/>
  <c r="D60" i="4"/>
  <c r="E60" i="4" s="1"/>
  <c r="F60" i="4" s="1"/>
  <c r="D59" i="4"/>
  <c r="E59" i="4" s="1"/>
  <c r="F59" i="4" s="1"/>
  <c r="D12" i="4"/>
  <c r="E12" i="4" s="1"/>
  <c r="D48" i="4"/>
  <c r="D31" i="4"/>
  <c r="D16" i="4"/>
  <c r="E16" i="4" s="1"/>
  <c r="F16" i="4" s="1"/>
  <c r="D18" i="4"/>
  <c r="E18" i="4" s="1"/>
  <c r="D37" i="4"/>
  <c r="D21" i="4"/>
  <c r="E21" i="4" s="1"/>
  <c r="D46" i="4"/>
  <c r="E46" i="4" s="1"/>
  <c r="D50" i="4"/>
  <c r="E50" i="4" s="1"/>
  <c r="D38" i="4"/>
  <c r="E38" i="4" s="1"/>
  <c r="G38" i="4" s="1"/>
  <c r="D61" i="4"/>
  <c r="D27" i="4"/>
  <c r="D58" i="4"/>
  <c r="E58" i="4" s="1"/>
  <c r="F58" i="4" s="1"/>
  <c r="D36" i="4"/>
  <c r="E36" i="4" s="1"/>
  <c r="D65" i="4"/>
  <c r="D56" i="4"/>
  <c r="E56" i="4" s="1"/>
  <c r="D23" i="4"/>
  <c r="E23" i="4" s="1"/>
  <c r="F23" i="4" s="1"/>
  <c r="D66" i="4"/>
  <c r="E66" i="4"/>
  <c r="F66" i="4"/>
  <c r="D29" i="4"/>
  <c r="E29" i="4" s="1"/>
  <c r="F29" i="4" s="1"/>
  <c r="D28" i="4"/>
  <c r="E28" i="4" s="1"/>
  <c r="F28" i="4" s="1"/>
  <c r="D33" i="4"/>
  <c r="E33" i="4" s="1"/>
  <c r="D20" i="4"/>
  <c r="E20" i="4" s="1"/>
  <c r="F20" i="4" s="1"/>
  <c r="D32" i="4"/>
  <c r="D49" i="4"/>
  <c r="D14" i="4"/>
  <c r="D17" i="4"/>
  <c r="D51" i="4"/>
  <c r="D42" i="4"/>
  <c r="E42" i="4" s="1"/>
  <c r="D52" i="4"/>
  <c r="E52" i="4" s="1"/>
  <c r="F52" i="4" s="1"/>
  <c r="D35" i="4"/>
  <c r="D39" i="4"/>
  <c r="E39" i="4" s="1"/>
  <c r="F39" i="4" s="1"/>
  <c r="D62" i="4"/>
  <c r="E62" i="4" s="1"/>
  <c r="F62" i="4" s="1"/>
  <c r="D43" i="4"/>
  <c r="E43" i="4" s="1"/>
  <c r="F43" i="4" s="1"/>
  <c r="D45" i="4"/>
  <c r="D19" i="4"/>
  <c r="E19" i="4" s="1"/>
  <c r="D47" i="4"/>
  <c r="D55" i="4"/>
  <c r="E55" i="4" s="1"/>
  <c r="D22" i="4"/>
  <c r="D70" i="4"/>
  <c r="E70" i="4" s="1"/>
  <c r="F70" i="4" s="1"/>
  <c r="D67" i="4"/>
  <c r="E67" i="4"/>
  <c r="D13" i="4"/>
  <c r="D57" i="4"/>
  <c r="E57" i="4" s="1"/>
  <c r="F57" i="4" s="1"/>
  <c r="D11" i="4"/>
  <c r="C72" i="4"/>
  <c r="G64" i="4"/>
  <c r="G24" i="4"/>
  <c r="G15" i="4"/>
  <c r="G1" i="4"/>
  <c r="G9" i="4"/>
  <c r="G10" i="4"/>
  <c r="G11" i="4"/>
  <c r="G43" i="4"/>
  <c r="G49" i="4"/>
  <c r="G51" i="4"/>
  <c r="G52" i="4"/>
  <c r="G57" i="4"/>
  <c r="G39" i="4"/>
  <c r="G27" i="4"/>
  <c r="G23" i="4"/>
  <c r="G30" i="4"/>
  <c r="G20" i="4"/>
  <c r="G70" i="4"/>
  <c r="G69" i="4"/>
  <c r="G65" i="4"/>
  <c r="J13" i="2"/>
  <c r="H11" i="2"/>
  <c r="I11" i="2"/>
  <c r="J11" i="2" s="1"/>
  <c r="K11" i="2" s="1"/>
  <c r="H21" i="2"/>
  <c r="I21" i="2" s="1"/>
  <c r="J21" i="2" s="1"/>
  <c r="K21" i="2" s="1"/>
  <c r="H17" i="2"/>
  <c r="I17" i="2" s="1"/>
  <c r="G31" i="2"/>
  <c r="H19" i="2"/>
  <c r="I19" i="2" s="1"/>
  <c r="J19" i="2" s="1"/>
  <c r="K19" i="2" s="1"/>
  <c r="H9" i="2"/>
  <c r="I9" i="2"/>
  <c r="H29" i="2"/>
  <c r="I29" i="2"/>
  <c r="J29" i="2" s="1"/>
  <c r="K29" i="2" s="1"/>
  <c r="H27" i="2"/>
  <c r="I27" i="2" s="1"/>
  <c r="H25" i="2"/>
  <c r="I25" i="2" s="1"/>
  <c r="J25" i="2" s="1"/>
  <c r="H23" i="2"/>
  <c r="I23" i="2"/>
  <c r="J23" i="2" s="1"/>
  <c r="H15" i="2"/>
  <c r="I15" i="2"/>
  <c r="J15" i="2" s="1"/>
  <c r="H13" i="2"/>
  <c r="I13" i="2" s="1"/>
  <c r="K13" i="2" s="1"/>
  <c r="K22" i="2"/>
  <c r="K1" i="2"/>
  <c r="K17" i="2"/>
  <c r="G83" i="14"/>
  <c r="K15" i="2" l="1"/>
  <c r="K23" i="2"/>
  <c r="F18" i="4"/>
  <c r="G18" i="4"/>
  <c r="J27" i="2"/>
  <c r="K27" i="2"/>
  <c r="E37" i="4"/>
  <c r="F37" i="4" s="1"/>
  <c r="E11" i="8"/>
  <c r="F11" i="8" s="1"/>
  <c r="D73" i="8"/>
  <c r="G11" i="8"/>
  <c r="G32" i="8"/>
  <c r="E62" i="8"/>
  <c r="F62" i="8" s="1"/>
  <c r="F46" i="8"/>
  <c r="G46" i="8" s="1"/>
  <c r="F48" i="8"/>
  <c r="G48" i="8"/>
  <c r="H29" i="7"/>
  <c r="I29" i="7"/>
  <c r="F55" i="4"/>
  <c r="G55" i="4" s="1"/>
  <c r="H30" i="6"/>
  <c r="G16" i="6"/>
  <c r="H16" i="6"/>
  <c r="F71" i="8"/>
  <c r="G71" i="8" s="1"/>
  <c r="F22" i="8"/>
  <c r="G22" i="8"/>
  <c r="E59" i="8"/>
  <c r="F59" i="8" s="1"/>
  <c r="G59" i="8"/>
  <c r="E36" i="8"/>
  <c r="F36" i="8" s="1"/>
  <c r="G36" i="8"/>
  <c r="G26" i="8"/>
  <c r="I33" i="9"/>
  <c r="E14" i="4"/>
  <c r="F14" i="4" s="1"/>
  <c r="G14" i="4"/>
  <c r="G14" i="8"/>
  <c r="I31" i="2"/>
  <c r="K25" i="2"/>
  <c r="G25" i="4"/>
  <c r="G44" i="4"/>
  <c r="E47" i="4"/>
  <c r="F47" i="4" s="1"/>
  <c r="E35" i="4"/>
  <c r="F35" i="4" s="1"/>
  <c r="G35" i="4"/>
  <c r="G32" i="4"/>
  <c r="E61" i="4"/>
  <c r="F61" i="4" s="1"/>
  <c r="G31" i="4"/>
  <c r="E31" i="4"/>
  <c r="G40" i="4"/>
  <c r="F40" i="4"/>
  <c r="G36" i="6"/>
  <c r="H36" i="6"/>
  <c r="H54" i="6"/>
  <c r="G49" i="6"/>
  <c r="H49" i="6"/>
  <c r="H65" i="6"/>
  <c r="G9" i="8"/>
  <c r="F25" i="8"/>
  <c r="G25" i="8"/>
  <c r="I23" i="7"/>
  <c r="F54" i="4"/>
  <c r="G54" i="4" s="1"/>
  <c r="E17" i="4"/>
  <c r="G17" i="4" s="1"/>
  <c r="H31" i="2"/>
  <c r="J9" i="2"/>
  <c r="J31" i="2" s="1"/>
  <c r="E13" i="4"/>
  <c r="F13" i="4" s="1"/>
  <c r="G13" i="4"/>
  <c r="F56" i="4"/>
  <c r="G56" i="4"/>
  <c r="H28" i="6"/>
  <c r="G18" i="6"/>
  <c r="H18" i="6"/>
  <c r="H48" i="6"/>
  <c r="G24" i="8"/>
  <c r="G17" i="8"/>
  <c r="F66" i="8"/>
  <c r="G66" i="8"/>
  <c r="E22" i="4"/>
  <c r="F22" i="4" s="1"/>
  <c r="E26" i="4"/>
  <c r="F26" i="4" s="1"/>
  <c r="G66" i="4"/>
  <c r="F44" i="6"/>
  <c r="G44" i="6" s="1"/>
  <c r="G60" i="4"/>
  <c r="G16" i="4"/>
  <c r="F67" i="4"/>
  <c r="G67" i="4" s="1"/>
  <c r="F19" i="4"/>
  <c r="G19" i="4" s="1"/>
  <c r="F42" i="4"/>
  <c r="G42" i="4" s="1"/>
  <c r="F33" i="4"/>
  <c r="G33" i="4"/>
  <c r="F50" i="4"/>
  <c r="G50" i="4"/>
  <c r="E68" i="4"/>
  <c r="F68" i="4" s="1"/>
  <c r="E53" i="4"/>
  <c r="F53" i="4" s="1"/>
  <c r="F38" i="6"/>
  <c r="G38" i="6" s="1"/>
  <c r="H38" i="6"/>
  <c r="G31" i="6"/>
  <c r="H31" i="6" s="1"/>
  <c r="G29" i="8"/>
  <c r="F37" i="8"/>
  <c r="G37" i="8"/>
  <c r="F61" i="8"/>
  <c r="G61" i="8"/>
  <c r="G65" i="8"/>
  <c r="F45" i="4"/>
  <c r="G45" i="4" s="1"/>
  <c r="G58" i="4"/>
  <c r="G50" i="6"/>
  <c r="H50" i="6" s="1"/>
  <c r="F41" i="6"/>
  <c r="G41" i="6" s="1"/>
  <c r="H41" i="6"/>
  <c r="E42" i="8"/>
  <c r="F42" i="8" s="1"/>
  <c r="G42" i="8"/>
  <c r="G59" i="4"/>
  <c r="F46" i="4"/>
  <c r="G46" i="4"/>
  <c r="H29" i="6"/>
  <c r="F64" i="6"/>
  <c r="G64" i="6" s="1"/>
  <c r="H64" i="6"/>
  <c r="G11" i="6"/>
  <c r="H11" i="6"/>
  <c r="H9" i="7"/>
  <c r="I9" i="7"/>
  <c r="G33" i="7"/>
  <c r="E38" i="8"/>
  <c r="F38" i="8" s="1"/>
  <c r="E35" i="8"/>
  <c r="F35" i="8" s="1"/>
  <c r="E12" i="8"/>
  <c r="F12" i="8" s="1"/>
  <c r="G12" i="8"/>
  <c r="G42" i="6"/>
  <c r="H42" i="6"/>
  <c r="G62" i="4"/>
  <c r="G36" i="4"/>
  <c r="F21" i="4"/>
  <c r="G21" i="4"/>
  <c r="G12" i="4"/>
  <c r="F12" i="4"/>
  <c r="E72" i="6"/>
  <c r="I9" i="5"/>
  <c r="H32" i="5"/>
  <c r="H66" i="6"/>
  <c r="H68" i="6"/>
  <c r="E28" i="8"/>
  <c r="F28" i="8" s="1"/>
  <c r="F57" i="8"/>
  <c r="G57" i="8" s="1"/>
  <c r="G20" i="8"/>
  <c r="G64" i="8"/>
  <c r="F31" i="8"/>
  <c r="G31" i="8"/>
  <c r="F8" i="4"/>
  <c r="F72" i="4" s="1"/>
  <c r="H46" i="6"/>
  <c r="H26" i="6"/>
  <c r="H69" i="6"/>
  <c r="H60" i="6"/>
  <c r="G8" i="8"/>
  <c r="G51" i="8"/>
  <c r="E17" i="8"/>
  <c r="F17" i="8" s="1"/>
  <c r="F73" i="8" s="1"/>
  <c r="G34" i="8"/>
  <c r="G45" i="8"/>
  <c r="E52" i="8"/>
  <c r="F52" i="8" s="1"/>
  <c r="G10" i="8"/>
  <c r="G27" i="7"/>
  <c r="H27" i="7" s="1"/>
  <c r="G60" i="8"/>
  <c r="F24" i="8"/>
  <c r="H47" i="6"/>
  <c r="H8" i="6"/>
  <c r="H35" i="6"/>
  <c r="H37" i="6"/>
  <c r="G10" i="6"/>
  <c r="H40" i="6"/>
  <c r="G63" i="8"/>
  <c r="I11" i="7"/>
  <c r="G44" i="8"/>
  <c r="G39" i="8"/>
  <c r="E48" i="4"/>
  <c r="F48" i="4" s="1"/>
  <c r="G29" i="4"/>
  <c r="G34" i="4"/>
  <c r="H32" i="6"/>
  <c r="H53" i="6"/>
  <c r="F70" i="6"/>
  <c r="G70" i="6" s="1"/>
  <c r="G58" i="8"/>
  <c r="I25" i="7"/>
  <c r="G54" i="8"/>
  <c r="G30" i="8"/>
  <c r="G41" i="8"/>
  <c r="G28" i="4"/>
  <c r="G63" i="4"/>
  <c r="D72" i="4"/>
  <c r="H23" i="6"/>
  <c r="H63" i="6"/>
  <c r="H21" i="6"/>
  <c r="H25" i="6"/>
  <c r="I21" i="7"/>
  <c r="F58" i="8"/>
  <c r="H84" i="14"/>
  <c r="G61" i="4" l="1"/>
  <c r="H33" i="7"/>
  <c r="I34" i="7" s="1"/>
  <c r="K31" i="2"/>
  <c r="K32" i="2"/>
  <c r="K9" i="2"/>
  <c r="G72" i="6"/>
  <c r="H72" i="6" s="1"/>
  <c r="G53" i="4"/>
  <c r="H10" i="6"/>
  <c r="J9" i="5"/>
  <c r="I32" i="5"/>
  <c r="G35" i="8"/>
  <c r="G68" i="4"/>
  <c r="H44" i="6"/>
  <c r="G52" i="8"/>
  <c r="E73" i="8"/>
  <c r="G74" i="8" s="1"/>
  <c r="G22" i="4"/>
  <c r="H70" i="6"/>
  <c r="E72" i="4"/>
  <c r="G73" i="4" s="1"/>
  <c r="F72" i="6"/>
  <c r="H73" i="6" s="1"/>
  <c r="G26" i="4"/>
  <c r="G28" i="8"/>
  <c r="G73" i="8" s="1"/>
  <c r="G38" i="8"/>
  <c r="G48" i="4"/>
  <c r="G8" i="4"/>
  <c r="G47" i="4"/>
  <c r="I27" i="7"/>
  <c r="I33" i="7" s="1"/>
  <c r="G62" i="8"/>
  <c r="G37" i="4"/>
  <c r="G72" i="4" l="1"/>
  <c r="K9" i="5"/>
  <c r="J32" i="5"/>
  <c r="K32" i="5" l="1"/>
  <c r="K33" i="5"/>
</calcChain>
</file>

<file path=xl/sharedStrings.xml><?xml version="1.0" encoding="utf-8"?>
<sst xmlns="http://schemas.openxmlformats.org/spreadsheetml/2006/main" count="1043" uniqueCount="178">
  <si>
    <t xml:space="preserve"> </t>
  </si>
  <si>
    <t>LODGERS TAX RECEIPTS FOR NM MUNICIPALITIES</t>
  </si>
  <si>
    <t>_</t>
  </si>
  <si>
    <t xml:space="preserve">  FIRST</t>
  </si>
  <si>
    <t xml:space="preserve"> SECOND</t>
  </si>
  <si>
    <t xml:space="preserve">  THIRD</t>
  </si>
  <si>
    <t xml:space="preserve">  FOURTH</t>
  </si>
  <si>
    <t xml:space="preserve">  QUARTER</t>
  </si>
  <si>
    <t xml:space="preserve"> QUARTER</t>
  </si>
  <si>
    <t>GRAND TOTAL</t>
  </si>
  <si>
    <t>MUNICIPALITY</t>
  </si>
  <si>
    <t xml:space="preserve"> (JULY-SEPT.)</t>
  </si>
  <si>
    <t xml:space="preserve"> (OCT.-DEC.)</t>
  </si>
  <si>
    <t xml:space="preserve">  (JAN.-MAR.)</t>
  </si>
  <si>
    <t xml:space="preserve">  (APR.-JUN.)</t>
  </si>
  <si>
    <t>(YEAR TO DATE)</t>
  </si>
  <si>
    <t>5%</t>
  </si>
  <si>
    <t>ALAMOGORDO</t>
  </si>
  <si>
    <t>ANGEL FIRE</t>
  </si>
  <si>
    <t>ARTESIA</t>
  </si>
  <si>
    <t>AZTEC</t>
  </si>
  <si>
    <t>BELEN</t>
  </si>
  <si>
    <t>3%</t>
  </si>
  <si>
    <t>BERNALILLO</t>
  </si>
  <si>
    <t>CARLSBAD</t>
  </si>
  <si>
    <t>CARRIZOZO</t>
  </si>
  <si>
    <t>CHAMA</t>
  </si>
  <si>
    <t>4%</t>
  </si>
  <si>
    <t>CIMARRON</t>
  </si>
  <si>
    <t>CLAYTON</t>
  </si>
  <si>
    <t>CLOVIS</t>
  </si>
  <si>
    <t>COLUMBUS</t>
  </si>
  <si>
    <t>CUBA</t>
  </si>
  <si>
    <t>EAGLE NEST</t>
  </si>
  <si>
    <t>ESPANOLA</t>
  </si>
  <si>
    <t>FARMINGTON</t>
  </si>
  <si>
    <t>FORT SUMNER</t>
  </si>
  <si>
    <t>GALLUP</t>
  </si>
  <si>
    <t>GRANTS</t>
  </si>
  <si>
    <t>HATCH</t>
  </si>
  <si>
    <t>HOBBS</t>
  </si>
  <si>
    <t>HURLEY</t>
  </si>
  <si>
    <t>JEMEZ SPRINGS</t>
  </si>
  <si>
    <t>LAS CRUCES</t>
  </si>
  <si>
    <t>LAS VEGAS</t>
  </si>
  <si>
    <t>LOGAN</t>
  </si>
  <si>
    <t>LORDSBURG</t>
  </si>
  <si>
    <t>LOS ALAMOS</t>
  </si>
  <si>
    <t>LOS LUNAS</t>
  </si>
  <si>
    <t>LOVINGTON</t>
  </si>
  <si>
    <t>MAGDALENA</t>
  </si>
  <si>
    <t>MILAN</t>
  </si>
  <si>
    <t>MORIARTY</t>
  </si>
  <si>
    <t>MOUNTAINAIR</t>
  </si>
  <si>
    <t>PORTALES</t>
  </si>
  <si>
    <t>RATON</t>
  </si>
  <si>
    <t>RED RIVER</t>
  </si>
  <si>
    <t>RIO RANCHO</t>
  </si>
  <si>
    <t>ROSWELL</t>
  </si>
  <si>
    <t>RUIDOSO</t>
  </si>
  <si>
    <t>RUIDOSO DOWNS</t>
  </si>
  <si>
    <t>SANTA ROSA</t>
  </si>
  <si>
    <t>SILVER CITY</t>
  </si>
  <si>
    <t>SOCORRO</t>
  </si>
  <si>
    <t>SPRINGER</t>
  </si>
  <si>
    <t>TAOS</t>
  </si>
  <si>
    <t>TAOS SKI VALLEY</t>
  </si>
  <si>
    <t>T  OR  C</t>
  </si>
  <si>
    <t>TUCUMCARI</t>
  </si>
  <si>
    <t>WILLIAMSBURG</t>
  </si>
  <si>
    <t>TOTAL</t>
  </si>
  <si>
    <t>ELEPHANT BUTTE</t>
  </si>
  <si>
    <t>QUARTER</t>
  </si>
  <si>
    <t>CORRALES</t>
  </si>
  <si>
    <t>BLOOMFIELD</t>
  </si>
  <si>
    <t>CAPITAN</t>
  </si>
  <si>
    <t xml:space="preserve">CLOUDCROFT          </t>
  </si>
  <si>
    <t xml:space="preserve">ALBUQUERQUE         </t>
  </si>
  <si>
    <t xml:space="preserve">SANTA FE                    </t>
  </si>
  <si>
    <t xml:space="preserve">DEMING                             </t>
  </si>
  <si>
    <t>ALBQ Hospitality Fee Act  1</t>
  </si>
  <si>
    <t>VAUGHN</t>
  </si>
  <si>
    <t>REPORT:</t>
  </si>
  <si>
    <t>LODGER'S TAX RECEIPTS FOR NEW MEXICO COUNTIES</t>
  </si>
  <si>
    <t>COMPILED BY:</t>
  </si>
  <si>
    <t>INFORMATION SOURCE:</t>
  </si>
  <si>
    <t>FIRST</t>
  </si>
  <si>
    <t>SECOND</t>
  </si>
  <si>
    <t>THIRD</t>
  </si>
  <si>
    <t>FOURTH</t>
  </si>
  <si>
    <t>COUNTY</t>
  </si>
  <si>
    <t>(JULY-SEPT.)</t>
  </si>
  <si>
    <t>(OCT.-DEC.)</t>
  </si>
  <si>
    <t>(JAN-MAR)</t>
  </si>
  <si>
    <t>(APR.-JUN.)</t>
  </si>
  <si>
    <t>EDDY</t>
  </si>
  <si>
    <t>GRANT</t>
  </si>
  <si>
    <t>LINCOLN</t>
  </si>
  <si>
    <t>LUNA          (1)</t>
  </si>
  <si>
    <t>1</t>
  </si>
  <si>
    <t>RIO ARRIBA</t>
  </si>
  <si>
    <t>SANDOVAL</t>
  </si>
  <si>
    <t>SAN MIGUEL</t>
  </si>
  <si>
    <t>SANTA FE</t>
  </si>
  <si>
    <t>SIERRA</t>
  </si>
  <si>
    <t>TOTALS</t>
  </si>
  <si>
    <t>Remits to the City of Deming</t>
  </si>
  <si>
    <t xml:space="preserve">DFA-LOCAL GOVERNMENT DIVISION </t>
  </si>
  <si>
    <t>DEPARTMENT OF FINANCE &amp; ADMINISTRATION-LOCAL GOVERNMENT DIVISION</t>
  </si>
  <si>
    <t>2009-2010 FISCAL YEAR COUNTY LODGER'S TAX QUARTERLY REPORTS</t>
  </si>
  <si>
    <t>2010-11 FISCAL YEAR LODGER'S TAX REPORTS</t>
  </si>
  <si>
    <t>Qty**</t>
  </si>
  <si>
    <t>MESILLA ***</t>
  </si>
  <si>
    <t>2011-12 FISCAL YEAR LODGER'S TAX REPORTS</t>
  </si>
  <si>
    <t>2011-2012 FISCAL YEAR COUNTY LODGER'S TAX QUARTERLY REPORTS</t>
  </si>
  <si>
    <t>*Angel Fire did not report</t>
  </si>
  <si>
    <t xml:space="preserve">MESILLA </t>
  </si>
  <si>
    <t xml:space="preserve">It is not clear if Albuquerque initially reported $2,017,041. If they did not then this is a clerical oversight, which I corrected on 6/5/12 </t>
  </si>
  <si>
    <t xml:space="preserve">with an entry of $1,533,462, as reported in Albuquerque's 3rd quarter report. </t>
  </si>
  <si>
    <t>2012-2013 FISCAL YEAR COUNTY LODGER'S TAX QUARTERLY REPORTS</t>
  </si>
  <si>
    <t>2012-13 FISCAL YEAR LODGER'S TAX REPORTS</t>
  </si>
  <si>
    <t>Tom Dixon</t>
  </si>
  <si>
    <t>County Provided</t>
  </si>
  <si>
    <t>Fiscal Year 2012</t>
  </si>
  <si>
    <t>2nd quarter 2731028-1602057=1128971</t>
  </si>
  <si>
    <t>2nd quarter  2048271-1201543=846728</t>
  </si>
  <si>
    <t>RESERVE</t>
  </si>
  <si>
    <t>SPRINGER*</t>
  </si>
  <si>
    <t>SOCORRO COUNTY</t>
  </si>
  <si>
    <t>Socorro County</t>
  </si>
  <si>
    <t xml:space="preserve">Magdalena has been unable to collect from one hotel and is seeking liens on hotels. </t>
  </si>
  <si>
    <t>Magdalena reported a late report additional 253 from one of two mostly non compliant hotels, so for now the 4th quarter for Magdalena is $253.</t>
  </si>
  <si>
    <t>COMPILED BY: Tom Dixon</t>
  </si>
  <si>
    <t>INFORMATION SOURCE: Local Public Body Listed</t>
  </si>
  <si>
    <t>2013-14 FISCAL YEAR LODGER'S TAX REPORTS</t>
  </si>
  <si>
    <t>2013-2014 FISCAL YEAR COUNTY LODGER'S TAX QUARTERLY REPORTS</t>
  </si>
  <si>
    <t>GRANT*</t>
  </si>
  <si>
    <t>*Grant County may have erroneously reported the 2nd quarter in the 3rd.</t>
  </si>
  <si>
    <t>Mountainaire has potentially reported the 2nd quarter in the 3rd. Inquiry was made but they 'didn't understand why it was the same'. (paraphrased)</t>
  </si>
  <si>
    <t>No Report</t>
  </si>
  <si>
    <t xml:space="preserve">SF Convention Ctr Fund Act  </t>
  </si>
  <si>
    <t xml:space="preserve">ALBQ Hospitality Fee Act  </t>
  </si>
  <si>
    <t>Las Cruces Convention Ctr Financing</t>
  </si>
  <si>
    <t>Clovis audit in 2014 covered the calendar year 2013, (i.e. last 2 qtrs of FY 13 and first 2 qtrs of FY 14), and understatements were found</t>
  </si>
  <si>
    <t xml:space="preserve"> and corrections made above. </t>
  </si>
  <si>
    <t>Lodgers Tax Rate</t>
  </si>
  <si>
    <t>DEPARTMENT OF FINANCE &amp; ADMINISTRATION, LOCAL GOVERNMENT DIVISION</t>
  </si>
  <si>
    <t xml:space="preserve">Lodgers Tax Rates, etc. </t>
  </si>
  <si>
    <t>COLFAX</t>
  </si>
  <si>
    <r>
      <rPr>
        <sz val="11"/>
        <color rgb="FF0000FF"/>
        <rFont val="Arial"/>
        <family val="2"/>
      </rPr>
      <t xml:space="preserve">2024 </t>
    </r>
    <r>
      <rPr>
        <sz val="11"/>
        <rFont val="Arial"/>
        <family val="2"/>
      </rPr>
      <t>FISCAL YEAR LODGER'S TAX REPORTS</t>
    </r>
  </si>
  <si>
    <r>
      <t xml:space="preserve">Fiscal Year </t>
    </r>
    <r>
      <rPr>
        <b/>
        <sz val="12"/>
        <color rgb="FF0000FF"/>
        <rFont val="Arial"/>
        <family val="2"/>
      </rPr>
      <t>2024</t>
    </r>
    <r>
      <rPr>
        <b/>
        <sz val="12"/>
        <rFont val="Arial"/>
        <family val="2"/>
      </rPr>
      <t xml:space="preserve"> LODGER'S TAX QUARTERLY REPORTS</t>
    </r>
  </si>
  <si>
    <t>ANTHONY</t>
  </si>
  <si>
    <t>EDGEWOOD</t>
  </si>
  <si>
    <t>EUNICE</t>
  </si>
  <si>
    <t>Farmington Convention Center Fee</t>
  </si>
  <si>
    <t>Roswell Convention Center Fee</t>
  </si>
  <si>
    <t>Socorro Convention Center Fee</t>
  </si>
  <si>
    <t>SUNLAND PARK</t>
  </si>
  <si>
    <t>T or C Convention Center Fee</t>
  </si>
  <si>
    <t>T or C</t>
  </si>
  <si>
    <t>Las Cruces Convention Center Fee</t>
  </si>
  <si>
    <t>* Q1-4 have reporting issues, YTD cannot be verified.</t>
  </si>
  <si>
    <t>** Q1-4 have reporting issues, YTD total appears to be correct.</t>
  </si>
  <si>
    <t>*** LT and Convention Center fees are reported as one revenue line item.</t>
  </si>
  <si>
    <t>* Q1-3 have reporting issues, YTD total appears correct.</t>
  </si>
  <si>
    <t xml:space="preserve"> *</t>
  </si>
  <si>
    <t>HIDALGO *</t>
  </si>
  <si>
    <t>SAN MIGUEL **</t>
  </si>
  <si>
    <t>SIERRA *</t>
  </si>
  <si>
    <t>TAOS **</t>
  </si>
  <si>
    <t>SF Convention Ctr Fund Act  (15-4-4) ***</t>
  </si>
  <si>
    <t xml:space="preserve">SANTA FE ***            </t>
  </si>
  <si>
    <t>LOVINGTON **</t>
  </si>
  <si>
    <t>CLOUDCROFT *</t>
  </si>
  <si>
    <t>ALAMOGORDO ****</t>
  </si>
  <si>
    <t>**** Alamogodo Q1 reporting error, LT no longer collected.</t>
  </si>
  <si>
    <t>cx</t>
  </si>
  <si>
    <t>MORIARTY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</si>
</sst>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_)"/>
  </numFmts>
  <fonts count="25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8"/>
      <name val="SWISS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SWISS"/>
    </font>
    <font>
      <b/>
      <u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SWISS"/>
    </font>
    <font>
      <b/>
      <sz val="13"/>
      <color theme="1"/>
      <name val="Arial"/>
      <family val="2"/>
    </font>
    <font>
      <b/>
      <sz val="11"/>
      <name val="SWISS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color rgb="FF0000FF"/>
      <name val="Arial"/>
      <family val="2"/>
    </font>
    <font>
      <sz val="12"/>
      <color rgb="FF0000FF"/>
      <name val="SWISS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8">
    <xf numFmtId="37" fontId="0" fillId="2" borderId="0"/>
    <xf numFmtId="0" fontId="1" fillId="0" borderId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17" fillId="2" borderId="0"/>
    <xf numFmtId="37" fontId="24" fillId="2" borderId="0"/>
    <xf numFmtId="9" fontId="24" fillId="0" borderId="0" applyFont="0" applyFill="0" applyBorder="0" applyAlignment="0" applyProtection="0"/>
  </cellStyleXfs>
  <cellXfs count="232">
    <xf numFmtId="37" fontId="0" fillId="2" borderId="0" xfId="0"/>
    <xf numFmtId="37" fontId="1" fillId="2" borderId="1" xfId="0" applyFont="1" applyBorder="1"/>
    <xf numFmtId="37" fontId="1" fillId="2" borderId="2" xfId="0" applyFont="1" applyBorder="1"/>
    <xf numFmtId="165" fontId="1" fillId="2" borderId="3" xfId="0" applyNumberFormat="1" applyFont="1" applyBorder="1"/>
    <xf numFmtId="37" fontId="1" fillId="2" borderId="0" xfId="0" applyFont="1"/>
    <xf numFmtId="37" fontId="1" fillId="2" borderId="4" xfId="0" applyFont="1" applyBorder="1"/>
    <xf numFmtId="37" fontId="1" fillId="2" borderId="5" xfId="0" applyFont="1" applyBorder="1"/>
    <xf numFmtId="37" fontId="4" fillId="2" borderId="1" xfId="0" applyFont="1" applyBorder="1"/>
    <xf numFmtId="37" fontId="4" fillId="2" borderId="2" xfId="0" applyFont="1" applyBorder="1"/>
    <xf numFmtId="37" fontId="4" fillId="2" borderId="3" xfId="0" applyFont="1" applyBorder="1"/>
    <xf numFmtId="37" fontId="4" fillId="2" borderId="4" xfId="0" applyFont="1" applyBorder="1"/>
    <xf numFmtId="37" fontId="4" fillId="2" borderId="0" xfId="0" applyFont="1"/>
    <xf numFmtId="37" fontId="4" fillId="2" borderId="0" xfId="0" applyFont="1" applyAlignment="1">
      <alignment horizontal="center"/>
    </xf>
    <xf numFmtId="37" fontId="4" fillId="2" borderId="5" xfId="0" applyFont="1" applyBorder="1"/>
    <xf numFmtId="37" fontId="4" fillId="2" borderId="5" xfId="0" applyFont="1" applyBorder="1" applyAlignment="1">
      <alignment horizontal="center"/>
    </xf>
    <xf numFmtId="37" fontId="1" fillId="2" borderId="0" xfId="0" applyFont="1" applyAlignment="1">
      <alignment horizontal="center"/>
    </xf>
    <xf numFmtId="37" fontId="1" fillId="2" borderId="3" xfId="0" applyFont="1" applyBorder="1"/>
    <xf numFmtId="37" fontId="5" fillId="2" borderId="6" xfId="0" applyFont="1" applyBorder="1" applyAlignment="1">
      <alignment horizontal="center"/>
    </xf>
    <xf numFmtId="37" fontId="5" fillId="2" borderId="7" xfId="0" applyFont="1" applyBorder="1"/>
    <xf numFmtId="37" fontId="5" fillId="2" borderId="8" xfId="0" applyFont="1" applyBorder="1"/>
    <xf numFmtId="37" fontId="5" fillId="2" borderId="4" xfId="0" applyFont="1" applyBorder="1"/>
    <xf numFmtId="37" fontId="5" fillId="2" borderId="0" xfId="0" applyFont="1"/>
    <xf numFmtId="37" fontId="5" fillId="2" borderId="5" xfId="0" applyFont="1" applyBorder="1"/>
    <xf numFmtId="9" fontId="5" fillId="2" borderId="6" xfId="0" applyNumberFormat="1" applyFont="1" applyBorder="1" applyAlignment="1">
      <alignment horizontal="center"/>
    </xf>
    <xf numFmtId="37" fontId="5" fillId="2" borderId="8" xfId="0" applyFont="1" applyBorder="1" applyAlignment="1">
      <alignment horizontal="right"/>
    </xf>
    <xf numFmtId="9" fontId="5" fillId="2" borderId="6" xfId="0" applyNumberFormat="1" applyFont="1" applyBorder="1"/>
    <xf numFmtId="37" fontId="5" fillId="2" borderId="2" xfId="0" applyFont="1" applyBorder="1"/>
    <xf numFmtId="37" fontId="5" fillId="2" borderId="9" xfId="0" applyFont="1" applyBorder="1"/>
    <xf numFmtId="37" fontId="5" fillId="2" borderId="10" xfId="0" applyFont="1" applyBorder="1"/>
    <xf numFmtId="37" fontId="5" fillId="2" borderId="11" xfId="0" applyFont="1" applyBorder="1"/>
    <xf numFmtId="37" fontId="6" fillId="2" borderId="0" xfId="0" applyFont="1"/>
    <xf numFmtId="37" fontId="2" fillId="2" borderId="4" xfId="0" applyFont="1" applyBorder="1"/>
    <xf numFmtId="37" fontId="7" fillId="2" borderId="0" xfId="0" applyFont="1" applyAlignment="1">
      <alignment horizontal="right"/>
    </xf>
    <xf numFmtId="37" fontId="8" fillId="2" borderId="4" xfId="0" applyFont="1" applyBorder="1"/>
    <xf numFmtId="37" fontId="0" fillId="2" borderId="6" xfId="0" applyBorder="1"/>
    <xf numFmtId="37" fontId="0" fillId="2" borderId="7" xfId="0" applyBorder="1"/>
    <xf numFmtId="37" fontId="0" fillId="2" borderId="8" xfId="0" applyBorder="1"/>
    <xf numFmtId="37" fontId="8" fillId="2" borderId="0" xfId="0" applyFont="1"/>
    <xf numFmtId="9" fontId="9" fillId="2" borderId="12" xfId="0" applyNumberFormat="1" applyFont="1" applyBorder="1"/>
    <xf numFmtId="37" fontId="9" fillId="2" borderId="13" xfId="0" applyFont="1" applyBorder="1"/>
    <xf numFmtId="37" fontId="9" fillId="2" borderId="14" xfId="0" applyFont="1" applyBorder="1"/>
    <xf numFmtId="37" fontId="1" fillId="2" borderId="13" xfId="0" applyFont="1" applyBorder="1"/>
    <xf numFmtId="37" fontId="0" fillId="2" borderId="13" xfId="0" applyBorder="1"/>
    <xf numFmtId="37" fontId="5" fillId="2" borderId="13" xfId="0" applyFont="1" applyBorder="1"/>
    <xf numFmtId="37" fontId="0" fillId="2" borderId="0" xfId="0" applyAlignment="1">
      <alignment horizontal="center"/>
    </xf>
    <xf numFmtId="37" fontId="10" fillId="2" borderId="1" xfId="0" applyFont="1" applyBorder="1"/>
    <xf numFmtId="37" fontId="10" fillId="2" borderId="2" xfId="0" applyFont="1" applyBorder="1"/>
    <xf numFmtId="37" fontId="10" fillId="2" borderId="0" xfId="0" applyFont="1"/>
    <xf numFmtId="37" fontId="10" fillId="2" borderId="4" xfId="0" applyFont="1" applyBorder="1"/>
    <xf numFmtId="37" fontId="10" fillId="2" borderId="5" xfId="0" applyFont="1" applyBorder="1"/>
    <xf numFmtId="37" fontId="10" fillId="2" borderId="3" xfId="0" applyFont="1" applyBorder="1"/>
    <xf numFmtId="37" fontId="10" fillId="2" borderId="0" xfId="0" quotePrefix="1" applyFont="1"/>
    <xf numFmtId="37" fontId="10" fillId="2" borderId="17" xfId="0" applyFont="1" applyBorder="1"/>
    <xf numFmtId="37" fontId="11" fillId="2" borderId="18" xfId="0" applyFont="1" applyBorder="1"/>
    <xf numFmtId="37" fontId="10" fillId="2" borderId="19" xfId="0" applyFont="1" applyBorder="1"/>
    <xf numFmtId="37" fontId="12" fillId="2" borderId="0" xfId="0" applyFont="1"/>
    <xf numFmtId="37" fontId="4" fillId="2" borderId="20" xfId="0" applyFont="1" applyBorder="1"/>
    <xf numFmtId="37" fontId="4" fillId="2" borderId="21" xfId="0" applyFont="1" applyBorder="1" applyAlignment="1">
      <alignment horizontal="center"/>
    </xf>
    <xf numFmtId="37" fontId="1" fillId="2" borderId="22" xfId="0" applyFont="1" applyBorder="1"/>
    <xf numFmtId="37" fontId="5" fillId="2" borderId="23" xfId="0" applyFont="1" applyBorder="1"/>
    <xf numFmtId="37" fontId="5" fillId="2" borderId="21" xfId="0" applyFont="1" applyBorder="1"/>
    <xf numFmtId="37" fontId="5" fillId="2" borderId="22" xfId="0" applyFont="1" applyBorder="1"/>
    <xf numFmtId="37" fontId="5" fillId="2" borderId="24" xfId="0" applyFont="1" applyBorder="1"/>
    <xf numFmtId="37" fontId="1" fillId="2" borderId="20" xfId="0" applyFont="1" applyBorder="1"/>
    <xf numFmtId="37" fontId="5" fillId="0" borderId="21" xfId="0" applyFont="1" applyFill="1" applyBorder="1"/>
    <xf numFmtId="37" fontId="5" fillId="0" borderId="23" xfId="0" applyFont="1" applyFill="1" applyBorder="1"/>
    <xf numFmtId="37" fontId="8" fillId="2" borderId="24" xfId="0" applyFont="1" applyBorder="1"/>
    <xf numFmtId="37" fontId="10" fillId="2" borderId="12" xfId="0" applyFont="1" applyBorder="1"/>
    <xf numFmtId="37" fontId="10" fillId="2" borderId="12" xfId="0" applyFont="1" applyBorder="1" applyAlignment="1">
      <alignment horizontal="fill"/>
    </xf>
    <xf numFmtId="37" fontId="10" fillId="2" borderId="13" xfId="0" applyFont="1" applyBorder="1" applyAlignment="1">
      <alignment horizontal="fill"/>
    </xf>
    <xf numFmtId="37" fontId="10" fillId="2" borderId="30" xfId="0" applyFont="1" applyBorder="1" applyAlignment="1">
      <alignment horizontal="fill"/>
    </xf>
    <xf numFmtId="37" fontId="11" fillId="2" borderId="0" xfId="0" applyFont="1"/>
    <xf numFmtId="15" fontId="10" fillId="2" borderId="3" xfId="0" applyNumberFormat="1" applyFont="1" applyBorder="1"/>
    <xf numFmtId="37" fontId="10" fillId="2" borderId="26" xfId="0" applyFont="1" applyBorder="1"/>
    <xf numFmtId="37" fontId="10" fillId="2" borderId="26" xfId="0" applyFont="1" applyBorder="1" applyAlignment="1">
      <alignment horizontal="center"/>
    </xf>
    <xf numFmtId="37" fontId="10" fillId="2" borderId="27" xfId="0" applyFont="1" applyBorder="1"/>
    <xf numFmtId="37" fontId="10" fillId="2" borderId="27" xfId="0" applyFont="1" applyBorder="1" applyAlignment="1">
      <alignment horizontal="center"/>
    </xf>
    <xf numFmtId="37" fontId="10" fillId="2" borderId="24" xfId="0" applyFont="1" applyBorder="1"/>
    <xf numFmtId="37" fontId="10" fillId="2" borderId="28" xfId="0" applyFont="1" applyBorder="1" applyAlignment="1">
      <alignment horizontal="center"/>
    </xf>
    <xf numFmtId="37" fontId="10" fillId="2" borderId="24" xfId="0" applyFont="1" applyBorder="1" applyAlignment="1">
      <alignment horizontal="center"/>
    </xf>
    <xf numFmtId="37" fontId="10" fillId="2" borderId="29" xfId="0" applyFont="1" applyBorder="1" applyAlignment="1">
      <alignment horizontal="center"/>
    </xf>
    <xf numFmtId="37" fontId="11" fillId="2" borderId="6" xfId="0" applyFont="1" applyBorder="1" applyAlignment="1">
      <alignment horizontal="center"/>
    </xf>
    <xf numFmtId="37" fontId="11" fillId="2" borderId="13" xfId="0" applyFont="1" applyBorder="1"/>
    <xf numFmtId="37" fontId="11" fillId="2" borderId="31" xfId="0" applyFont="1" applyBorder="1"/>
    <xf numFmtId="37" fontId="11" fillId="2" borderId="7" xfId="0" applyFont="1" applyBorder="1"/>
    <xf numFmtId="37" fontId="11" fillId="2" borderId="15" xfId="0" applyFont="1" applyBorder="1"/>
    <xf numFmtId="9" fontId="11" fillId="2" borderId="6" xfId="0" applyNumberFormat="1" applyFont="1" applyBorder="1" applyAlignment="1">
      <alignment horizontal="center"/>
    </xf>
    <xf numFmtId="37" fontId="11" fillId="0" borderId="6" xfId="0" applyFont="1" applyFill="1" applyBorder="1"/>
    <xf numFmtId="37" fontId="11" fillId="0" borderId="7" xfId="0" applyFont="1" applyFill="1" applyBorder="1"/>
    <xf numFmtId="37" fontId="11" fillId="2" borderId="25" xfId="0" applyFont="1" applyBorder="1"/>
    <xf numFmtId="164" fontId="11" fillId="2" borderId="6" xfId="0" applyNumberFormat="1" applyFont="1" applyBorder="1" applyAlignment="1">
      <alignment horizontal="center"/>
    </xf>
    <xf numFmtId="37" fontId="11" fillId="2" borderId="6" xfId="0" quotePrefix="1" applyFont="1" applyBorder="1" applyAlignment="1">
      <alignment horizontal="center"/>
    </xf>
    <xf numFmtId="37" fontId="11" fillId="2" borderId="8" xfId="0" applyFont="1" applyBorder="1"/>
    <xf numFmtId="10" fontId="11" fillId="2" borderId="6" xfId="0" quotePrefix="1" applyNumberFormat="1" applyFont="1" applyBorder="1" applyAlignment="1">
      <alignment horizontal="center"/>
    </xf>
    <xf numFmtId="9" fontId="11" fillId="2" borderId="7" xfId="0" applyNumberFormat="1" applyFont="1" applyBorder="1"/>
    <xf numFmtId="37" fontId="11" fillId="2" borderId="10" xfId="0" applyFont="1" applyBorder="1"/>
    <xf numFmtId="37" fontId="11" fillId="2" borderId="16" xfId="0" applyFont="1" applyBorder="1"/>
    <xf numFmtId="37" fontId="11" fillId="2" borderId="11" xfId="0" applyFont="1" applyBorder="1"/>
    <xf numFmtId="37" fontId="11" fillId="2" borderId="4" xfId="0" applyFont="1" applyBorder="1"/>
    <xf numFmtId="37" fontId="14" fillId="2" borderId="0" xfId="0" applyFont="1"/>
    <xf numFmtId="37" fontId="5" fillId="0" borderId="24" xfId="0" applyFont="1" applyFill="1" applyBorder="1"/>
    <xf numFmtId="37" fontId="5" fillId="2" borderId="32" xfId="0" applyFont="1" applyBorder="1"/>
    <xf numFmtId="37" fontId="5" fillId="0" borderId="22" xfId="0" applyFont="1" applyFill="1" applyBorder="1"/>
    <xf numFmtId="37" fontId="13" fillId="0" borderId="23" xfId="0" applyFont="1" applyFill="1" applyBorder="1"/>
    <xf numFmtId="37" fontId="8" fillId="2" borderId="28" xfId="0" applyFont="1" applyBorder="1"/>
    <xf numFmtId="37" fontId="5" fillId="0" borderId="0" xfId="0" applyFont="1" applyFill="1"/>
    <xf numFmtId="37" fontId="11" fillId="2" borderId="7" xfId="0" applyFont="1" applyBorder="1" applyProtection="1">
      <protection locked="0"/>
    </xf>
    <xf numFmtId="3" fontId="2" fillId="3" borderId="33" xfId="1" applyNumberFormat="1" applyFont="1" applyFill="1" applyBorder="1"/>
    <xf numFmtId="37" fontId="11" fillId="0" borderId="31" xfId="0" applyFont="1" applyFill="1" applyBorder="1"/>
    <xf numFmtId="37" fontId="5" fillId="2" borderId="33" xfId="0" applyFont="1" applyBorder="1"/>
    <xf numFmtId="37" fontId="11" fillId="5" borderId="31" xfId="0" applyFont="1" applyFill="1" applyBorder="1"/>
    <xf numFmtId="37" fontId="5" fillId="5" borderId="23" xfId="0" applyFont="1" applyFill="1" applyBorder="1"/>
    <xf numFmtId="37" fontId="4" fillId="2" borderId="20" xfId="0" applyFont="1" applyBorder="1" applyAlignment="1">
      <alignment horizontal="center"/>
    </xf>
    <xf numFmtId="37" fontId="0" fillId="2" borderId="21" xfId="0" applyBorder="1"/>
    <xf numFmtId="37" fontId="0" fillId="2" borderId="24" xfId="0" applyBorder="1"/>
    <xf numFmtId="37" fontId="4" fillId="2" borderId="21" xfId="0" applyFont="1" applyBorder="1"/>
    <xf numFmtId="37" fontId="5" fillId="2" borderId="7" xfId="0" applyFont="1" applyBorder="1" applyAlignment="1">
      <alignment horizontal="right"/>
    </xf>
    <xf numFmtId="37" fontId="5" fillId="2" borderId="30" xfId="0" applyFont="1" applyBorder="1"/>
    <xf numFmtId="37" fontId="0" fillId="2" borderId="4" xfId="0" applyBorder="1"/>
    <xf numFmtId="37" fontId="5" fillId="2" borderId="4" xfId="0" applyFont="1" applyBorder="1" applyAlignment="1">
      <alignment horizontal="center"/>
    </xf>
    <xf numFmtId="9" fontId="5" fillId="2" borderId="12" xfId="0" applyNumberFormat="1" applyFont="1" applyBorder="1" applyAlignment="1">
      <alignment horizontal="center"/>
    </xf>
    <xf numFmtId="37" fontId="4" fillId="2" borderId="24" xfId="0" applyFont="1" applyBorder="1" applyAlignment="1">
      <alignment horizontal="center"/>
    </xf>
    <xf numFmtId="37" fontId="0" fillId="2" borderId="34" xfId="0" applyBorder="1"/>
    <xf numFmtId="37" fontId="0" fillId="2" borderId="20" xfId="0" applyBorder="1"/>
    <xf numFmtId="37" fontId="11" fillId="2" borderId="35" xfId="0" applyFont="1" applyBorder="1"/>
    <xf numFmtId="37" fontId="11" fillId="2" borderId="30" xfId="0" applyFont="1" applyBorder="1"/>
    <xf numFmtId="9" fontId="11" fillId="0" borderId="6" xfId="0" applyNumberFormat="1" applyFont="1" applyFill="1" applyBorder="1" applyAlignment="1">
      <alignment horizontal="center"/>
    </xf>
    <xf numFmtId="37" fontId="10" fillId="0" borderId="0" xfId="0" applyFont="1" applyFill="1"/>
    <xf numFmtId="37" fontId="0" fillId="0" borderId="34" xfId="0" applyFill="1" applyBorder="1"/>
    <xf numFmtId="37" fontId="0" fillId="0" borderId="24" xfId="0" applyFill="1" applyBorder="1"/>
    <xf numFmtId="37" fontId="1" fillId="2" borderId="1" xfId="0" applyFont="1" applyBorder="1" applyAlignment="1">
      <alignment horizontal="right"/>
    </xf>
    <xf numFmtId="37" fontId="10" fillId="0" borderId="28" xfId="0" applyFont="1" applyFill="1" applyBorder="1" applyAlignment="1">
      <alignment horizontal="center"/>
    </xf>
    <xf numFmtId="37" fontId="10" fillId="0" borderId="24" xfId="0" applyFont="1" applyFill="1" applyBorder="1" applyAlignment="1">
      <alignment horizontal="center"/>
    </xf>
    <xf numFmtId="37" fontId="10" fillId="0" borderId="26" xfId="0" applyFont="1" applyFill="1" applyBorder="1" applyAlignment="1">
      <alignment horizontal="center"/>
    </xf>
    <xf numFmtId="37" fontId="15" fillId="2" borderId="7" xfId="0" applyFont="1" applyBorder="1"/>
    <xf numFmtId="37" fontId="0" fillId="0" borderId="0" xfId="0" applyFill="1"/>
    <xf numFmtId="37" fontId="11" fillId="0" borderId="15" xfId="0" applyFont="1" applyFill="1" applyBorder="1"/>
    <xf numFmtId="37" fontId="11" fillId="4" borderId="31" xfId="0" applyFont="1" applyFill="1" applyBorder="1"/>
    <xf numFmtId="37" fontId="10" fillId="0" borderId="2" xfId="0" applyFont="1" applyFill="1" applyBorder="1"/>
    <xf numFmtId="37" fontId="11" fillId="4" borderId="4" xfId="0" applyFont="1" applyFill="1" applyBorder="1"/>
    <xf numFmtId="37" fontId="11" fillId="4" borderId="0" xfId="0" applyFont="1" applyFill="1"/>
    <xf numFmtId="37" fontId="10" fillId="2" borderId="13" xfId="0" applyFont="1" applyBorder="1"/>
    <xf numFmtId="37" fontId="18" fillId="2" borderId="35" xfId="0" applyFont="1" applyBorder="1"/>
    <xf numFmtId="44" fontId="11" fillId="2" borderId="6" xfId="0" applyNumberFormat="1" applyFont="1" applyBorder="1" applyAlignment="1">
      <alignment horizontal="left"/>
    </xf>
    <xf numFmtId="37" fontId="10" fillId="2" borderId="21" xfId="0" applyFont="1" applyBorder="1" applyAlignment="1">
      <alignment horizontal="center"/>
    </xf>
    <xf numFmtId="37" fontId="10" fillId="0" borderId="21" xfId="0" applyFont="1" applyFill="1" applyBorder="1" applyAlignment="1">
      <alignment horizontal="center"/>
    </xf>
    <xf numFmtId="37" fontId="0" fillId="2" borderId="36" xfId="0" applyBorder="1"/>
    <xf numFmtId="37" fontId="0" fillId="2" borderId="30" xfId="0" applyBorder="1"/>
    <xf numFmtId="37" fontId="0" fillId="2" borderId="37" xfId="0" applyBorder="1"/>
    <xf numFmtId="37" fontId="10" fillId="2" borderId="26" xfId="0" applyFont="1" applyBorder="1" applyAlignment="1">
      <alignment horizontal="fill"/>
    </xf>
    <xf numFmtId="37" fontId="5" fillId="0" borderId="7" xfId="0" applyFont="1" applyFill="1" applyBorder="1"/>
    <xf numFmtId="37" fontId="0" fillId="2" borderId="38" xfId="0" applyBorder="1"/>
    <xf numFmtId="37" fontId="0" fillId="2" borderId="28" xfId="0" applyBorder="1"/>
    <xf numFmtId="37" fontId="23" fillId="0" borderId="34" xfId="0" applyFont="1" applyFill="1" applyBorder="1"/>
    <xf numFmtId="37" fontId="23" fillId="2" borderId="34" xfId="0" applyFont="1" applyBorder="1"/>
    <xf numFmtId="37" fontId="23" fillId="0" borderId="24" xfId="0" applyFont="1" applyFill="1" applyBorder="1"/>
    <xf numFmtId="37" fontId="23" fillId="2" borderId="21" xfId="0" applyFont="1" applyBorder="1"/>
    <xf numFmtId="37" fontId="23" fillId="0" borderId="21" xfId="0" applyFont="1" applyFill="1" applyBorder="1"/>
    <xf numFmtId="37" fontId="23" fillId="2" borderId="24" xfId="0" applyFont="1" applyBorder="1"/>
    <xf numFmtId="37" fontId="23" fillId="5" borderId="24" xfId="0" applyFont="1" applyFill="1" applyBorder="1"/>
    <xf numFmtId="37" fontId="0" fillId="2" borderId="0" xfId="0" applyAlignment="1">
      <alignment horizontal="right" indent="1"/>
    </xf>
    <xf numFmtId="37" fontId="4" fillId="2" borderId="0" xfId="0" applyFont="1" applyAlignment="1">
      <alignment horizontal="right" indent="1"/>
    </xf>
    <xf numFmtId="37" fontId="0" fillId="2" borderId="0" xfId="0" applyAlignment="1">
      <alignment horizontal="right"/>
    </xf>
    <xf numFmtId="37" fontId="10" fillId="2" borderId="36" xfId="0" applyFont="1" applyBorder="1"/>
    <xf numFmtId="37" fontId="10" fillId="2" borderId="36" xfId="0" applyFont="1" applyBorder="1" applyAlignment="1">
      <alignment horizontal="center"/>
    </xf>
    <xf numFmtId="37" fontId="10" fillId="2" borderId="30" xfId="0" applyFont="1" applyBorder="1" applyAlignment="1">
      <alignment horizontal="center"/>
    </xf>
    <xf numFmtId="37" fontId="10" fillId="2" borderId="0" xfId="0" applyFont="1" applyAlignment="1">
      <alignment horizontal="right"/>
    </xf>
    <xf numFmtId="37" fontId="0" fillId="5" borderId="0" xfId="0" applyFill="1"/>
    <xf numFmtId="37" fontId="11" fillId="2" borderId="21" xfId="0" applyFont="1" applyBorder="1" applyAlignment="1">
      <alignment horizontal="center" vertical="center"/>
    </xf>
    <xf numFmtId="37" fontId="11" fillId="2" borderId="24" xfId="0" applyFont="1" applyBorder="1" applyAlignment="1">
      <alignment horizontal="center" vertical="center"/>
    </xf>
    <xf numFmtId="37" fontId="0" fillId="2" borderId="0" xfId="0" applyAlignment="1">
      <alignment horizontal="center"/>
    </xf>
    <xf numFmtId="37" fontId="0" fillId="2" borderId="26" xfId="0" applyBorder="1" applyAlignment="1"/>
    <xf numFmtId="37" fontId="0" fillId="2" borderId="0" xfId="0" applyAlignment="1"/>
    <xf numFmtId="37" fontId="23" fillId="5" borderId="34" xfId="0" applyFont="1" applyFill="1" applyBorder="1"/>
    <xf numFmtId="37" fontId="8" fillId="2" borderId="0" xfId="0" applyFont="1" applyAlignment="1"/>
    <xf numFmtId="37" fontId="0" fillId="5" borderId="0" xfId="0" applyFill="1" applyAlignment="1">
      <alignment horizontal="right"/>
    </xf>
    <xf numFmtId="37" fontId="0" fillId="0" borderId="0" xfId="0" applyFill="1" applyAlignment="1"/>
    <xf numFmtId="37" fontId="23" fillId="5" borderId="21" xfId="0" applyFont="1" applyFill="1" applyBorder="1"/>
    <xf numFmtId="37" fontId="0" fillId="2" borderId="0" xfId="0" applyBorder="1" applyAlignment="1"/>
    <xf numFmtId="37" fontId="0" fillId="2" borderId="0" xfId="0" applyBorder="1"/>
    <xf numFmtId="37" fontId="8" fillId="2" borderId="0" xfId="0" applyFont="1" applyBorder="1" applyAlignment="1"/>
    <xf numFmtId="37" fontId="1" fillId="2" borderId="39" xfId="0" applyFont="1" applyBorder="1"/>
    <xf numFmtId="37" fontId="2" fillId="2" borderId="39" xfId="0" applyFont="1" applyBorder="1" applyAlignment="1">
      <alignment horizontal="right"/>
    </xf>
    <xf numFmtId="37" fontId="2" fillId="2" borderId="39" xfId="0" applyFont="1" applyBorder="1"/>
    <xf numFmtId="37" fontId="0" fillId="2" borderId="39" xfId="0" applyBorder="1"/>
    <xf numFmtId="37" fontId="20" fillId="2" borderId="26" xfId="0" applyFont="1" applyBorder="1"/>
    <xf numFmtId="37" fontId="1" fillId="2" borderId="0" xfId="0" applyFont="1" applyBorder="1"/>
    <xf numFmtId="37" fontId="20" fillId="2" borderId="0" xfId="0" applyFont="1" applyBorder="1" applyAlignment="1">
      <alignment horizontal="left"/>
    </xf>
    <xf numFmtId="37" fontId="2" fillId="2" borderId="26" xfId="0" applyFont="1" applyBorder="1"/>
    <xf numFmtId="37" fontId="2" fillId="2" borderId="0" xfId="0" applyFont="1" applyBorder="1"/>
    <xf numFmtId="37" fontId="4" fillId="2" borderId="40" xfId="0" applyFont="1" applyBorder="1"/>
    <xf numFmtId="37" fontId="4" fillId="2" borderId="26" xfId="0" applyFont="1" applyBorder="1"/>
    <xf numFmtId="37" fontId="4" fillId="2" borderId="0" xfId="0" applyFont="1" applyBorder="1"/>
    <xf numFmtId="37" fontId="7" fillId="2" borderId="26" xfId="0" applyFont="1" applyBorder="1" applyAlignment="1">
      <alignment horizontal="center"/>
    </xf>
    <xf numFmtId="37" fontId="1" fillId="2" borderId="40" xfId="0" applyFont="1" applyBorder="1"/>
    <xf numFmtId="37" fontId="5" fillId="2" borderId="41" xfId="0" applyFont="1" applyBorder="1" applyAlignment="1">
      <alignment horizontal="center"/>
    </xf>
    <xf numFmtId="37" fontId="5" fillId="2" borderId="26" xfId="0" applyFont="1" applyBorder="1" applyAlignment="1">
      <alignment horizontal="center"/>
    </xf>
    <xf numFmtId="37" fontId="5" fillId="2" borderId="0" xfId="0" applyFont="1" applyBorder="1"/>
    <xf numFmtId="9" fontId="5" fillId="2" borderId="41" xfId="0" applyNumberFormat="1" applyFont="1" applyBorder="1" applyAlignment="1">
      <alignment horizontal="center"/>
    </xf>
    <xf numFmtId="9" fontId="5" fillId="5" borderId="41" xfId="0" applyNumberFormat="1" applyFont="1" applyFill="1" applyBorder="1" applyAlignment="1">
      <alignment horizontal="center"/>
    </xf>
    <xf numFmtId="9" fontId="5" fillId="2" borderId="28" xfId="0" applyNumberFormat="1" applyFont="1" applyBorder="1" applyAlignment="1">
      <alignment horizontal="center"/>
    </xf>
    <xf numFmtId="37" fontId="5" fillId="2" borderId="26" xfId="0" applyFont="1" applyBorder="1"/>
    <xf numFmtId="37" fontId="5" fillId="2" borderId="28" xfId="0" applyFont="1" applyBorder="1"/>
    <xf numFmtId="37" fontId="7" fillId="2" borderId="0" xfId="0" applyFont="1" applyBorder="1" applyAlignment="1">
      <alignment horizontal="right"/>
    </xf>
    <xf numFmtId="37" fontId="0" fillId="2" borderId="28" xfId="0" applyBorder="1" applyAlignment="1"/>
    <xf numFmtId="37" fontId="0" fillId="2" borderId="13" xfId="0" applyBorder="1" applyAlignment="1"/>
    <xf numFmtId="37" fontId="0" fillId="2" borderId="30" xfId="0" applyBorder="1" applyAlignment="1"/>
    <xf numFmtId="37" fontId="10" fillId="2" borderId="0" xfId="0" applyFont="1" applyBorder="1" applyAlignment="1">
      <alignment horizontal="center"/>
    </xf>
    <xf numFmtId="37" fontId="0" fillId="2" borderId="0" xfId="0" applyBorder="1" applyAlignment="1">
      <alignment horizontal="center"/>
    </xf>
    <xf numFmtId="37" fontId="10" fillId="2" borderId="26" xfId="0" applyFont="1" applyBorder="1" applyAlignment="1">
      <alignment horizontal="center"/>
    </xf>
    <xf numFmtId="37" fontId="10" fillId="2" borderId="36" xfId="0" applyFont="1" applyBorder="1" applyAlignment="1">
      <alignment horizontal="center"/>
    </xf>
    <xf numFmtId="37" fontId="10" fillId="2" borderId="0" xfId="0" applyFont="1" applyBorder="1" applyAlignment="1">
      <alignment horizontal="fill"/>
    </xf>
    <xf numFmtId="37" fontId="10" fillId="2" borderId="36" xfId="0" applyFont="1" applyBorder="1" applyAlignment="1">
      <alignment horizontal="fill"/>
    </xf>
    <xf numFmtId="37" fontId="19" fillId="2" borderId="21" xfId="0" applyFont="1" applyBorder="1" applyAlignment="1">
      <alignment horizontal="center" vertical="center" wrapText="1"/>
    </xf>
    <xf numFmtId="37" fontId="19" fillId="2" borderId="24" xfId="0" applyFont="1" applyBorder="1" applyAlignment="1">
      <alignment horizontal="center" vertical="center" wrapText="1"/>
    </xf>
    <xf numFmtId="9" fontId="11" fillId="5" borderId="41" xfId="0" applyNumberFormat="1" applyFont="1" applyFill="1" applyBorder="1" applyAlignment="1">
      <alignment horizontal="center"/>
    </xf>
    <xf numFmtId="9" fontId="11" fillId="0" borderId="41" xfId="0" applyNumberFormat="1" applyFont="1" applyFill="1" applyBorder="1" applyAlignment="1">
      <alignment horizontal="center"/>
    </xf>
    <xf numFmtId="9" fontId="11" fillId="6" borderId="41" xfId="0" applyNumberFormat="1" applyFont="1" applyFill="1" applyBorder="1" applyAlignment="1">
      <alignment horizontal="center"/>
    </xf>
    <xf numFmtId="164" fontId="11" fillId="5" borderId="41" xfId="0" applyNumberFormat="1" applyFont="1" applyFill="1" applyBorder="1" applyAlignment="1">
      <alignment horizontal="center"/>
    </xf>
    <xf numFmtId="9" fontId="11" fillId="2" borderId="41" xfId="0" applyNumberFormat="1" applyFont="1" applyBorder="1" applyAlignment="1">
      <alignment horizontal="center"/>
    </xf>
    <xf numFmtId="9" fontId="11" fillId="2" borderId="41" xfId="0" quotePrefix="1" applyNumberFormat="1" applyFont="1" applyBorder="1" applyAlignment="1">
      <alignment horizontal="center"/>
    </xf>
    <xf numFmtId="44" fontId="11" fillId="6" borderId="41" xfId="0" applyNumberFormat="1" applyFont="1" applyFill="1" applyBorder="1" applyAlignment="1">
      <alignment horizontal="left"/>
    </xf>
    <xf numFmtId="44" fontId="11" fillId="6" borderId="41" xfId="0" applyNumberFormat="1" applyFont="1" applyFill="1" applyBorder="1" applyAlignment="1">
      <alignment horizontal="center"/>
    </xf>
    <xf numFmtId="37" fontId="10" fillId="2" borderId="40" xfId="0" applyFont="1" applyBorder="1"/>
    <xf numFmtId="37" fontId="0" fillId="2" borderId="26" xfId="0" applyBorder="1"/>
    <xf numFmtId="37" fontId="1" fillId="2" borderId="38" xfId="0" applyFont="1" applyBorder="1"/>
    <xf numFmtId="37" fontId="11" fillId="2" borderId="36" xfId="0" applyFont="1" applyBorder="1"/>
    <xf numFmtId="9" fontId="11" fillId="2" borderId="26" xfId="0" applyNumberFormat="1" applyFont="1" applyBorder="1" applyAlignment="1">
      <alignment horizontal="center"/>
    </xf>
    <xf numFmtId="37" fontId="11" fillId="2" borderId="0" xfId="0" applyFont="1" applyBorder="1"/>
    <xf numFmtId="37" fontId="23" fillId="2" borderId="20" xfId="0" applyFont="1" applyBorder="1"/>
    <xf numFmtId="37" fontId="23" fillId="0" borderId="38" xfId="0" applyFont="1" applyFill="1" applyBorder="1"/>
    <xf numFmtId="37" fontId="10" fillId="2" borderId="38" xfId="0" applyFont="1" applyBorder="1"/>
  </cellXfs>
  <cellStyles count="8">
    <cellStyle name="Comma 2" xfId="3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6" xr:uid="{00000000-0005-0000-0000-000005000000}"/>
    <cellStyle name="Percent 2" xfId="4" xr:uid="{00000000-0005-0000-0000-000006000000}"/>
    <cellStyle name="Percent 3" xfId="7" xr:uid="{00000000-0005-0000-0000-000007000000}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8"/>
  <sheetViews>
    <sheetView zoomScaleNormal="100" zoomScaleSheetLayoutView="100" workbookViewId="0">
      <selection activeCell="K33" sqref="K33"/>
    </sheetView>
  </sheetViews>
  <sheetFormatPr defaultColWidth="15.6328125" defaultRowHeight="15"/>
  <cols>
    <col min="1" max="1" width="4.6328125" customWidth="1"/>
    <col min="2" max="2" width="1.6328125" customWidth="1"/>
    <col min="3" max="3" width="15.81640625" customWidth="1"/>
    <col min="4" max="4" width="2.6328125" hidden="1" customWidth="1"/>
    <col min="5" max="5" width="11" customWidth="1"/>
    <col min="6" max="6" width="1.6328125" customWidth="1"/>
    <col min="7" max="7" width="13.08984375" customWidth="1"/>
    <col min="8" max="8" width="10.453125" customWidth="1"/>
    <col min="9" max="9" width="13.81640625" customWidth="1"/>
    <col min="10" max="10" width="11.1796875" customWidth="1"/>
    <col min="11" max="11" width="19.1796875" customWidth="1"/>
    <col min="12" max="12" width="1.6328125" customWidth="1"/>
    <col min="13" max="13" width="8.6328125" customWidth="1"/>
  </cols>
  <sheetData>
    <row r="1" spans="1:37" s="4" customFormat="1">
      <c r="A1" s="1" t="s">
        <v>82</v>
      </c>
      <c r="B1" s="2"/>
      <c r="C1" s="2"/>
      <c r="D1" s="2"/>
      <c r="E1" s="2" t="s">
        <v>83</v>
      </c>
      <c r="F1" s="2"/>
      <c r="G1" s="2"/>
      <c r="H1" s="2"/>
      <c r="I1" s="2"/>
      <c r="J1" s="2"/>
      <c r="K1" s="3">
        <f ca="1">NOW()</f>
        <v>46146.497156365738</v>
      </c>
    </row>
    <row r="2" spans="1:37" s="4" customFormat="1">
      <c r="A2" s="5" t="s">
        <v>84</v>
      </c>
      <c r="E2" s="4" t="s">
        <v>108</v>
      </c>
      <c r="K2" s="6"/>
    </row>
    <row r="3" spans="1:37" s="4" customFormat="1">
      <c r="A3" s="5" t="s">
        <v>85</v>
      </c>
      <c r="E3" s="4" t="s">
        <v>109</v>
      </c>
      <c r="K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86</v>
      </c>
      <c r="H5" s="12" t="s">
        <v>87</v>
      </c>
      <c r="I5" s="12" t="s">
        <v>88</v>
      </c>
      <c r="J5" s="12" t="s">
        <v>89</v>
      </c>
      <c r="K5" s="13"/>
    </row>
    <row r="6" spans="1:37" s="4" customFormat="1">
      <c r="A6" s="10"/>
      <c r="B6" s="11"/>
      <c r="C6" s="11"/>
      <c r="D6" s="11"/>
      <c r="G6" s="57" t="s">
        <v>72</v>
      </c>
      <c r="H6" s="12" t="s">
        <v>72</v>
      </c>
      <c r="I6" s="12" t="s">
        <v>72</v>
      </c>
      <c r="J6" s="12" t="s">
        <v>72</v>
      </c>
      <c r="K6" s="14" t="s">
        <v>9</v>
      </c>
    </row>
    <row r="7" spans="1:37" s="4" customFormat="1">
      <c r="A7" s="10"/>
      <c r="B7" s="11"/>
      <c r="C7" s="11" t="s">
        <v>90</v>
      </c>
      <c r="D7" s="11"/>
      <c r="G7" s="57" t="s">
        <v>91</v>
      </c>
      <c r="H7" s="12" t="s">
        <v>92</v>
      </c>
      <c r="I7" s="12" t="s">
        <v>93</v>
      </c>
      <c r="J7" s="12" t="s">
        <v>94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95" customHeight="1">
      <c r="A9" s="17" t="s">
        <v>16</v>
      </c>
      <c r="B9" s="18"/>
      <c r="C9" s="18" t="s">
        <v>95</v>
      </c>
      <c r="D9" s="19"/>
      <c r="E9" s="18"/>
      <c r="F9" s="18"/>
      <c r="G9" s="65">
        <v>19526</v>
      </c>
      <c r="H9" s="59">
        <f>29494-G9</f>
        <v>9968</v>
      </c>
      <c r="I9" s="65">
        <f>34053-H9</f>
        <v>24085</v>
      </c>
      <c r="J9" s="103">
        <f>46053-I9</f>
        <v>21968</v>
      </c>
      <c r="K9" s="19">
        <f>G9+H9+I9+J9</f>
        <v>75547</v>
      </c>
    </row>
    <row r="10" spans="1:37" s="4" customFormat="1" ht="19.95" customHeight="1">
      <c r="A10" s="20"/>
      <c r="B10" s="21"/>
      <c r="C10" s="21" t="s">
        <v>0</v>
      </c>
      <c r="D10" s="22"/>
      <c r="E10" s="21"/>
      <c r="F10" s="21"/>
      <c r="G10" s="60"/>
      <c r="H10" s="60"/>
      <c r="I10" s="60"/>
      <c r="J10" s="64"/>
      <c r="K10" s="19"/>
    </row>
    <row r="11" spans="1:37" s="4" customFormat="1" ht="19.95" customHeight="1">
      <c r="A11" s="23">
        <v>0.05</v>
      </c>
      <c r="B11" s="18"/>
      <c r="C11" s="18" t="s">
        <v>96</v>
      </c>
      <c r="D11" s="19"/>
      <c r="E11" s="18"/>
      <c r="F11" s="18"/>
      <c r="G11" s="65">
        <v>17045</v>
      </c>
      <c r="H11" s="65">
        <f>26910-G11</f>
        <v>9865</v>
      </c>
      <c r="I11" s="59">
        <f>48307-H11</f>
        <v>38442</v>
      </c>
      <c r="J11" s="65">
        <f>54135-I11</f>
        <v>15693</v>
      </c>
      <c r="K11" s="19">
        <f t="shared" ref="K11:K29" si="0">G11+H11+I11+J11</f>
        <v>81045</v>
      </c>
    </row>
    <row r="12" spans="1:37" s="4" customFormat="1" ht="19.95" customHeight="1">
      <c r="A12" s="20"/>
      <c r="B12" s="21"/>
      <c r="C12" s="21" t="s">
        <v>0</v>
      </c>
      <c r="D12" s="22"/>
      <c r="E12" s="21"/>
      <c r="F12" s="21"/>
      <c r="G12" s="60"/>
      <c r="H12" s="60"/>
      <c r="I12" s="60"/>
      <c r="J12" s="60"/>
      <c r="K12" s="19"/>
    </row>
    <row r="13" spans="1:37" ht="19.95" customHeight="1">
      <c r="A13" s="23">
        <v>0.04</v>
      </c>
      <c r="B13" s="18"/>
      <c r="C13" s="18" t="s">
        <v>97</v>
      </c>
      <c r="D13" s="19"/>
      <c r="E13" s="18"/>
      <c r="F13" s="18"/>
      <c r="G13" s="59">
        <v>25178</v>
      </c>
      <c r="H13" s="59">
        <f>40153-G13</f>
        <v>14975</v>
      </c>
      <c r="I13" s="59">
        <f>53088-H13</f>
        <v>38113</v>
      </c>
      <c r="J13" s="59">
        <f>10686</f>
        <v>10686</v>
      </c>
      <c r="K13" s="19">
        <f t="shared" si="0"/>
        <v>88952</v>
      </c>
      <c r="L13" s="4"/>
      <c r="M13" s="4"/>
    </row>
    <row r="14" spans="1:37" ht="19.95" customHeight="1">
      <c r="A14" s="20"/>
      <c r="B14" s="21"/>
      <c r="C14" s="21" t="s">
        <v>0</v>
      </c>
      <c r="D14" s="22"/>
      <c r="E14" s="21"/>
      <c r="F14" s="21"/>
      <c r="G14" s="60"/>
      <c r="H14" s="60"/>
      <c r="I14" s="60"/>
      <c r="J14" s="60"/>
      <c r="K14" s="19"/>
      <c r="L14" s="4"/>
      <c r="M14" s="4"/>
    </row>
    <row r="15" spans="1:37" s="42" customFormat="1" ht="19.95" customHeight="1">
      <c r="A15" s="38">
        <v>0.05</v>
      </c>
      <c r="B15" s="39"/>
      <c r="C15" s="43" t="s">
        <v>47</v>
      </c>
      <c r="D15" s="40"/>
      <c r="E15" s="39"/>
      <c r="F15" s="39"/>
      <c r="G15" s="62">
        <v>89357</v>
      </c>
      <c r="H15" s="62">
        <f>156165.53-G15</f>
        <v>66808.53</v>
      </c>
      <c r="I15" s="62">
        <f>219772.48-H15</f>
        <v>152963.95000000001</v>
      </c>
      <c r="J15" s="62">
        <f>284333.88-I15</f>
        <v>131369.93</v>
      </c>
      <c r="K15" s="19">
        <f t="shared" si="0"/>
        <v>440499.41</v>
      </c>
      <c r="L15" s="41"/>
      <c r="M15" s="4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95" customHeight="1">
      <c r="A16" s="20"/>
      <c r="B16" s="21"/>
      <c r="C16" s="21"/>
      <c r="D16" s="22"/>
      <c r="E16" s="21"/>
      <c r="F16" s="21"/>
      <c r="G16" s="60"/>
      <c r="H16" s="60"/>
      <c r="I16" s="60"/>
      <c r="J16" s="60"/>
      <c r="K16" s="19"/>
      <c r="L16" s="4"/>
      <c r="M16" s="4"/>
    </row>
    <row r="17" spans="1:15" ht="19.95" customHeight="1">
      <c r="A17" s="17" t="s">
        <v>22</v>
      </c>
      <c r="B17" s="18"/>
      <c r="C17" s="18" t="s">
        <v>98</v>
      </c>
      <c r="D17" s="24" t="s">
        <v>99</v>
      </c>
      <c r="E17" s="18"/>
      <c r="F17" s="18"/>
      <c r="G17" s="65">
        <v>336.71</v>
      </c>
      <c r="H17" s="59">
        <f>1228.05-G17</f>
        <v>891.33999999999992</v>
      </c>
      <c r="I17" s="65">
        <f>2022.73-H17</f>
        <v>1131.3900000000001</v>
      </c>
      <c r="J17" s="59">
        <v>920.68</v>
      </c>
      <c r="K17" s="19">
        <f t="shared" si="0"/>
        <v>3280.12</v>
      </c>
      <c r="L17" s="4"/>
      <c r="M17" s="4"/>
      <c r="N17" s="44"/>
      <c r="O17" s="44"/>
    </row>
    <row r="18" spans="1:15" ht="19.95" customHeight="1">
      <c r="A18" s="20"/>
      <c r="B18" s="21"/>
      <c r="C18" s="21" t="s">
        <v>0</v>
      </c>
      <c r="D18" s="22"/>
      <c r="E18" s="21"/>
      <c r="F18" s="21"/>
      <c r="G18" s="60"/>
      <c r="H18" s="60"/>
      <c r="I18" s="60"/>
      <c r="J18" s="60"/>
      <c r="K18" s="19"/>
      <c r="L18" s="4"/>
      <c r="M18" s="4"/>
    </row>
    <row r="19" spans="1:15" ht="19.95" customHeight="1">
      <c r="A19" s="25">
        <v>0.03</v>
      </c>
      <c r="B19" s="18"/>
      <c r="C19" s="18" t="s">
        <v>100</v>
      </c>
      <c r="D19" s="19"/>
      <c r="E19" s="18"/>
      <c r="F19" s="18"/>
      <c r="G19" s="59">
        <v>16275</v>
      </c>
      <c r="H19" s="59">
        <f>27047-G19</f>
        <v>10772</v>
      </c>
      <c r="I19" s="59">
        <f>28419-H19</f>
        <v>17647</v>
      </c>
      <c r="J19" s="59">
        <f>32503-I19</f>
        <v>14856</v>
      </c>
      <c r="K19" s="19">
        <f t="shared" si="0"/>
        <v>59550</v>
      </c>
      <c r="L19" s="4"/>
      <c r="M19" s="4"/>
    </row>
    <row r="20" spans="1:15" ht="19.95" customHeight="1">
      <c r="A20" s="20"/>
      <c r="B20" s="21"/>
      <c r="C20" s="21"/>
      <c r="D20" s="22"/>
      <c r="E20" s="21"/>
      <c r="F20" s="21"/>
      <c r="G20" s="60"/>
      <c r="H20" s="60"/>
      <c r="I20" s="60"/>
      <c r="J20" s="60"/>
      <c r="K20" s="19"/>
      <c r="L20" s="4"/>
      <c r="M20" s="4"/>
    </row>
    <row r="21" spans="1:15" ht="19.95" customHeight="1">
      <c r="A21" s="25">
        <v>0.05</v>
      </c>
      <c r="B21" s="18"/>
      <c r="C21" s="18" t="s">
        <v>101</v>
      </c>
      <c r="D21" s="19"/>
      <c r="E21" s="18"/>
      <c r="F21" s="18"/>
      <c r="G21" s="59">
        <v>4063</v>
      </c>
      <c r="H21" s="65">
        <f>7550.73-G21</f>
        <v>3487.7299999999996</v>
      </c>
      <c r="I21" s="59">
        <f>9106.5-H21</f>
        <v>5618.77</v>
      </c>
      <c r="J21" s="100">
        <f>14269.87-I21</f>
        <v>8651.1</v>
      </c>
      <c r="K21" s="19">
        <f t="shared" si="0"/>
        <v>21820.6</v>
      </c>
      <c r="L21" s="4"/>
      <c r="M21" s="4" t="s">
        <v>0</v>
      </c>
    </row>
    <row r="22" spans="1:15" ht="19.95" customHeight="1">
      <c r="A22" s="20"/>
      <c r="B22" s="21"/>
      <c r="C22" s="21"/>
      <c r="D22" s="22"/>
      <c r="E22" s="21"/>
      <c r="F22" s="21"/>
      <c r="G22" s="60"/>
      <c r="H22" s="60"/>
      <c r="I22" s="60"/>
      <c r="J22" s="60"/>
      <c r="K22" s="19">
        <f t="shared" si="0"/>
        <v>0</v>
      </c>
      <c r="L22" s="4"/>
      <c r="M22" s="4"/>
    </row>
    <row r="23" spans="1:15" ht="19.95" customHeight="1">
      <c r="A23" s="23">
        <v>0.05</v>
      </c>
      <c r="B23" s="18"/>
      <c r="C23" s="18" t="s">
        <v>102</v>
      </c>
      <c r="D23" s="19"/>
      <c r="E23" s="18"/>
      <c r="F23" s="18"/>
      <c r="G23" s="65">
        <v>16811</v>
      </c>
      <c r="H23" s="66">
        <f>22512-G23</f>
        <v>5701</v>
      </c>
      <c r="I23" s="65">
        <f>23577-H23</f>
        <v>17876</v>
      </c>
      <c r="J23" s="59">
        <f>27512-I23</f>
        <v>9636</v>
      </c>
      <c r="K23" s="19">
        <f t="shared" si="0"/>
        <v>50024</v>
      </c>
      <c r="L23" s="4"/>
      <c r="M23" s="4"/>
    </row>
    <row r="24" spans="1:15" ht="19.95" customHeight="1">
      <c r="A24" s="20"/>
      <c r="B24" s="21"/>
      <c r="C24" s="21" t="s">
        <v>0</v>
      </c>
      <c r="D24" s="22"/>
      <c r="E24" s="21"/>
      <c r="F24" s="21"/>
      <c r="G24" s="60"/>
      <c r="H24" s="60"/>
      <c r="I24" s="60"/>
      <c r="J24" s="60"/>
      <c r="K24" s="19"/>
      <c r="L24" s="4"/>
      <c r="M24" s="4"/>
    </row>
    <row r="25" spans="1:15" ht="19.95" customHeight="1">
      <c r="A25" s="23">
        <v>0.04</v>
      </c>
      <c r="B25" s="18"/>
      <c r="C25" s="18" t="s">
        <v>103</v>
      </c>
      <c r="D25" s="19"/>
      <c r="E25" s="18"/>
      <c r="F25" s="18"/>
      <c r="G25" s="59">
        <v>140127</v>
      </c>
      <c r="H25" s="59">
        <f>258096-G25</f>
        <v>117969</v>
      </c>
      <c r="I25" s="62">
        <f>309476-H25</f>
        <v>191507</v>
      </c>
      <c r="J25" s="65">
        <f>382783-I25</f>
        <v>191276</v>
      </c>
      <c r="K25" s="19">
        <f t="shared" si="0"/>
        <v>640879</v>
      </c>
      <c r="L25" s="4"/>
      <c r="M25" s="4" t="s">
        <v>0</v>
      </c>
    </row>
    <row r="26" spans="1:15" ht="19.95" customHeight="1">
      <c r="A26" s="20"/>
      <c r="B26" s="21"/>
      <c r="C26" s="21" t="s">
        <v>0</v>
      </c>
      <c r="D26" s="22"/>
      <c r="E26" s="21"/>
      <c r="F26" s="21"/>
      <c r="G26" s="60"/>
      <c r="H26" s="60"/>
      <c r="I26" s="60"/>
      <c r="J26" s="60"/>
      <c r="K26" s="19"/>
      <c r="L26" s="4"/>
      <c r="M26" s="4"/>
    </row>
    <row r="27" spans="1:15" ht="19.95" customHeight="1">
      <c r="A27" s="17" t="s">
        <v>22</v>
      </c>
      <c r="B27" s="18"/>
      <c r="C27" s="18" t="s">
        <v>104</v>
      </c>
      <c r="D27" s="19"/>
      <c r="E27" s="18"/>
      <c r="F27" s="18"/>
      <c r="G27" s="59">
        <v>24403</v>
      </c>
      <c r="H27" s="59">
        <f>25462-G27</f>
        <v>1059</v>
      </c>
      <c r="I27" s="59">
        <f>26521-H27</f>
        <v>25462</v>
      </c>
      <c r="J27" s="59">
        <f>27702-I27</f>
        <v>2240</v>
      </c>
      <c r="K27" s="19">
        <f t="shared" si="0"/>
        <v>53164</v>
      </c>
      <c r="L27" s="4"/>
      <c r="M27" s="4"/>
    </row>
    <row r="28" spans="1:15" ht="19.95" customHeight="1">
      <c r="A28" s="20"/>
      <c r="B28" s="21"/>
      <c r="C28" s="21" t="s">
        <v>0</v>
      </c>
      <c r="D28" s="22"/>
      <c r="E28" s="21"/>
      <c r="F28" s="21"/>
      <c r="G28" s="60"/>
      <c r="H28" s="60"/>
      <c r="I28" s="60"/>
      <c r="J28" s="60"/>
      <c r="K28" s="19"/>
      <c r="L28" s="4"/>
      <c r="M28" s="4"/>
    </row>
    <row r="29" spans="1:15" ht="19.95" customHeight="1">
      <c r="A29" s="23">
        <v>0.05</v>
      </c>
      <c r="B29" s="18"/>
      <c r="C29" s="18" t="s">
        <v>65</v>
      </c>
      <c r="D29" s="22"/>
      <c r="E29" s="18"/>
      <c r="F29" s="18"/>
      <c r="G29" s="59">
        <v>74321</v>
      </c>
      <c r="H29" s="59">
        <f>128961.41-G29</f>
        <v>54640.41</v>
      </c>
      <c r="I29" s="59">
        <f>168985.67-H29</f>
        <v>114345.26000000001</v>
      </c>
      <c r="J29" s="59">
        <f>227760-I29</f>
        <v>113414.73999999999</v>
      </c>
      <c r="K29" s="19">
        <f t="shared" si="0"/>
        <v>356721.41000000003</v>
      </c>
      <c r="L29" s="4"/>
      <c r="M29" s="4"/>
    </row>
    <row r="30" spans="1:15" ht="19.95" customHeight="1">
      <c r="A30" s="20"/>
      <c r="B30" s="21"/>
      <c r="C30" s="21"/>
      <c r="D30" s="21"/>
      <c r="E30" s="26"/>
      <c r="F30" s="26"/>
      <c r="G30" s="61"/>
      <c r="H30" s="61"/>
      <c r="I30" s="61"/>
      <c r="J30" s="102" t="s">
        <v>0</v>
      </c>
      <c r="K30" s="19"/>
      <c r="L30" s="4"/>
      <c r="M30" s="4"/>
    </row>
    <row r="31" spans="1:15" ht="17.399999999999999" thickBot="1">
      <c r="A31" s="27"/>
      <c r="B31" s="28"/>
      <c r="C31" s="28" t="s">
        <v>105</v>
      </c>
      <c r="D31" s="29"/>
      <c r="E31" s="28"/>
      <c r="F31" s="28"/>
      <c r="G31" s="62">
        <f>SUM(G9:G30)</f>
        <v>427442.70999999996</v>
      </c>
      <c r="H31" s="62">
        <f>SUM(H9:H30)</f>
        <v>296137.01</v>
      </c>
      <c r="I31" s="62">
        <f>SUM(I8:I30)</f>
        <v>627191.37000000011</v>
      </c>
      <c r="J31" s="104">
        <f>SUM(J8:J30)</f>
        <v>520711.44999999995</v>
      </c>
      <c r="K31" s="101">
        <f>G31+H31+I31+J31</f>
        <v>1871482.54</v>
      </c>
      <c r="L31" s="4"/>
      <c r="M31" s="4"/>
    </row>
    <row r="32" spans="1:15" s="4" customFormat="1" ht="15.6" thickTop="1">
      <c r="A32" s="5"/>
      <c r="I32" s="30"/>
      <c r="J32" s="30"/>
      <c r="K32" s="6">
        <f>G31+H31+I31+J31</f>
        <v>1871482.54</v>
      </c>
    </row>
    <row r="33" spans="1:13" s="4" customFormat="1" ht="15.6">
      <c r="A33" s="31">
        <v>1</v>
      </c>
      <c r="B33" s="32"/>
      <c r="C33" s="4" t="s">
        <v>106</v>
      </c>
      <c r="K33" s="6"/>
    </row>
    <row r="34" spans="1:13" ht="15.6">
      <c r="A34" s="33"/>
      <c r="B34" s="4"/>
      <c r="C34" s="4"/>
      <c r="D34" s="4"/>
      <c r="E34" s="4"/>
      <c r="F34" s="4"/>
      <c r="G34" s="4"/>
      <c r="H34" s="4"/>
      <c r="I34" s="4"/>
      <c r="J34" s="4"/>
      <c r="K34" s="6"/>
      <c r="L34" s="4"/>
      <c r="M34" s="4"/>
    </row>
    <row r="35" spans="1:1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8" spans="1:13" ht="15.6">
      <c r="C38" s="37"/>
    </row>
  </sheetData>
  <phoneticPr fontId="3" type="noConversion"/>
  <pageMargins left="0.75" right="0.75" top="1" bottom="1" header="0.5" footer="0.5"/>
  <pageSetup scale="7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R90"/>
  <sheetViews>
    <sheetView tabSelected="1" workbookViewId="0">
      <selection activeCell="B1" sqref="B1"/>
    </sheetView>
  </sheetViews>
  <sheetFormatPr defaultRowHeight="15"/>
  <cols>
    <col min="1" max="1" width="2.36328125" customWidth="1"/>
    <col min="2" max="2" width="7.6328125" bestFit="1" customWidth="1"/>
    <col min="3" max="3" width="32.453125" bestFit="1" customWidth="1"/>
    <col min="4" max="4" width="12.1796875" customWidth="1"/>
    <col min="5" max="5" width="12.453125" customWidth="1"/>
    <col min="6" max="6" width="11.453125" customWidth="1"/>
    <col min="7" max="7" width="12.08984375" customWidth="1"/>
    <col min="8" max="8" width="15.90625" customWidth="1"/>
    <col min="9" max="9" width="8.7265625" style="162"/>
  </cols>
  <sheetData>
    <row r="2" spans="2:18" ht="12" customHeight="1">
      <c r="B2" s="179"/>
      <c r="C2" s="179"/>
      <c r="D2" s="179"/>
      <c r="E2" s="179"/>
      <c r="F2" s="179"/>
      <c r="G2" s="179"/>
      <c r="H2" s="179"/>
    </row>
    <row r="3" spans="2:18">
      <c r="B3" s="209" t="s">
        <v>1</v>
      </c>
      <c r="C3" s="207"/>
      <c r="D3" s="207"/>
      <c r="E3" s="207"/>
      <c r="F3" s="207"/>
      <c r="G3" s="207"/>
      <c r="H3" s="210"/>
    </row>
    <row r="4" spans="2:18">
      <c r="B4" s="209" t="s">
        <v>107</v>
      </c>
      <c r="C4" s="207"/>
      <c r="D4" s="207"/>
      <c r="E4" s="207"/>
      <c r="F4" s="207"/>
      <c r="G4" s="207"/>
      <c r="H4" s="210"/>
    </row>
    <row r="5" spans="2:18">
      <c r="B5" s="209" t="s">
        <v>149</v>
      </c>
      <c r="C5" s="207"/>
      <c r="D5" s="207"/>
      <c r="E5" s="207"/>
      <c r="F5" s="207"/>
      <c r="G5" s="207"/>
      <c r="H5" s="210"/>
    </row>
    <row r="6" spans="2:18">
      <c r="B6" s="149" t="s">
        <v>2</v>
      </c>
      <c r="C6" s="211" t="s">
        <v>2</v>
      </c>
      <c r="D6" s="211" t="s">
        <v>2</v>
      </c>
      <c r="E6" s="211" t="s">
        <v>2</v>
      </c>
      <c r="F6" s="211" t="s">
        <v>2</v>
      </c>
      <c r="G6" s="211" t="s">
        <v>2</v>
      </c>
      <c r="H6" s="212"/>
    </row>
    <row r="7" spans="2:18">
      <c r="B7" s="213" t="s">
        <v>147</v>
      </c>
      <c r="C7" s="168" t="s">
        <v>10</v>
      </c>
      <c r="D7" s="145" t="s">
        <v>3</v>
      </c>
      <c r="E7" s="144" t="s">
        <v>4</v>
      </c>
      <c r="F7" s="144" t="s">
        <v>5</v>
      </c>
      <c r="G7" s="74" t="s">
        <v>6</v>
      </c>
      <c r="H7" s="163"/>
    </row>
    <row r="8" spans="2:18">
      <c r="B8" s="213"/>
      <c r="C8" s="168"/>
      <c r="D8" s="74" t="s">
        <v>7</v>
      </c>
      <c r="E8" s="74" t="s">
        <v>8</v>
      </c>
      <c r="F8" s="74" t="s">
        <v>7</v>
      </c>
      <c r="G8" s="74" t="s">
        <v>72</v>
      </c>
      <c r="H8" s="164" t="s">
        <v>9</v>
      </c>
    </row>
    <row r="9" spans="2:18">
      <c r="B9" s="214"/>
      <c r="C9" s="169"/>
      <c r="D9" s="78" t="s">
        <v>11</v>
      </c>
      <c r="E9" s="78" t="s">
        <v>12</v>
      </c>
      <c r="F9" s="132" t="s">
        <v>13</v>
      </c>
      <c r="G9" s="78" t="s">
        <v>14</v>
      </c>
      <c r="H9" s="165" t="s">
        <v>15</v>
      </c>
      <c r="I9" s="166"/>
    </row>
    <row r="10" spans="2:18">
      <c r="B10" s="215">
        <v>0.05</v>
      </c>
      <c r="C10" s="124" t="s">
        <v>174</v>
      </c>
      <c r="D10" s="173">
        <v>-2295.37</v>
      </c>
      <c r="E10" s="173">
        <v>0</v>
      </c>
      <c r="F10" s="173">
        <v>0</v>
      </c>
      <c r="G10" s="173">
        <v>0</v>
      </c>
      <c r="H10" s="128">
        <f>D10+E10+F10+G10</f>
        <v>-2295.37</v>
      </c>
      <c r="I10" s="208"/>
      <c r="J10" s="170"/>
      <c r="K10" s="170"/>
      <c r="L10" s="170"/>
      <c r="M10" s="167"/>
      <c r="N10" s="167"/>
    </row>
    <row r="11" spans="2:18">
      <c r="B11" s="216">
        <v>0.05</v>
      </c>
      <c r="C11" s="124" t="s">
        <v>77</v>
      </c>
      <c r="D11" s="154">
        <v>4944879.68</v>
      </c>
      <c r="E11" s="154">
        <v>3562060.2200000007</v>
      </c>
      <c r="F11" s="154">
        <v>3651848.3200000003</v>
      </c>
      <c r="G11" s="153">
        <v>5242954.3199999984</v>
      </c>
      <c r="H11" s="128">
        <f t="shared" ref="H11:H78" si="0">D11+E11+F11+G11</f>
        <v>17401742.539999999</v>
      </c>
      <c r="N11" s="167"/>
      <c r="O11" s="167"/>
      <c r="P11" s="167"/>
      <c r="Q11" s="167"/>
      <c r="R11" s="167"/>
    </row>
    <row r="12" spans="2:18">
      <c r="B12" s="217">
        <v>0.01</v>
      </c>
      <c r="C12" s="124" t="s">
        <v>80</v>
      </c>
      <c r="D12" s="154">
        <v>988495.88</v>
      </c>
      <c r="E12" s="154">
        <v>711254.36</v>
      </c>
      <c r="F12" s="154">
        <v>729387.38000000024</v>
      </c>
      <c r="G12" s="153">
        <v>1048620.8700000001</v>
      </c>
      <c r="H12" s="128">
        <f>SUM(D12:G12)</f>
        <v>3477758.49</v>
      </c>
      <c r="N12" s="167"/>
      <c r="O12" s="167"/>
      <c r="P12" s="167"/>
      <c r="Q12" s="167"/>
      <c r="R12" s="167"/>
    </row>
    <row r="13" spans="2:18">
      <c r="B13" s="215">
        <v>0.05</v>
      </c>
      <c r="C13" s="84" t="s">
        <v>18</v>
      </c>
      <c r="D13" s="154">
        <v>235362.63</v>
      </c>
      <c r="E13" s="154">
        <v>92512.56</v>
      </c>
      <c r="F13" s="154">
        <v>472367.58999999997</v>
      </c>
      <c r="G13" s="153">
        <v>178679.28999999998</v>
      </c>
      <c r="H13" s="128">
        <f t="shared" si="0"/>
        <v>978922.07000000007</v>
      </c>
      <c r="I13" s="162" t="s">
        <v>0</v>
      </c>
      <c r="N13" s="167"/>
      <c r="O13" s="167"/>
      <c r="P13" s="167"/>
      <c r="Q13" s="167"/>
      <c r="R13" s="167"/>
    </row>
    <row r="14" spans="2:18">
      <c r="B14" s="215">
        <v>0.05</v>
      </c>
      <c r="C14" s="84" t="s">
        <v>151</v>
      </c>
      <c r="D14" s="154">
        <v>351</v>
      </c>
      <c r="E14" s="154">
        <v>353</v>
      </c>
      <c r="F14" s="154">
        <v>454</v>
      </c>
      <c r="G14" s="153">
        <v>451.02</v>
      </c>
      <c r="H14" s="128">
        <f t="shared" si="0"/>
        <v>1609.02</v>
      </c>
      <c r="N14" s="167"/>
      <c r="O14" s="167"/>
      <c r="P14" s="167"/>
      <c r="Q14" s="167"/>
      <c r="R14" s="167"/>
    </row>
    <row r="15" spans="2:18">
      <c r="B15" s="215">
        <v>0.05</v>
      </c>
      <c r="C15" s="88" t="s">
        <v>19</v>
      </c>
      <c r="D15" s="154">
        <v>142801.85</v>
      </c>
      <c r="E15" s="154">
        <v>122373.36000000002</v>
      </c>
      <c r="F15" s="154">
        <v>90340.56</v>
      </c>
      <c r="G15" s="153">
        <v>154017.88999999998</v>
      </c>
      <c r="H15" s="128">
        <f t="shared" si="0"/>
        <v>509533.66000000003</v>
      </c>
    </row>
    <row r="16" spans="2:18">
      <c r="B16" s="215">
        <v>0.05</v>
      </c>
      <c r="C16" s="84" t="s">
        <v>20</v>
      </c>
      <c r="D16" s="154">
        <v>12389.32</v>
      </c>
      <c r="E16" s="154">
        <v>9755.48</v>
      </c>
      <c r="F16" s="154">
        <v>2694.5</v>
      </c>
      <c r="G16" s="153">
        <v>4265.9500000000007</v>
      </c>
      <c r="H16" s="128">
        <f>SUM(D16:G16)</f>
        <v>29105.25</v>
      </c>
      <c r="I16" s="162" t="s">
        <v>0</v>
      </c>
    </row>
    <row r="17" spans="2:17">
      <c r="B17" s="215">
        <v>0.05</v>
      </c>
      <c r="C17" s="88" t="s">
        <v>21</v>
      </c>
      <c r="D17" s="154">
        <v>58678.69</v>
      </c>
      <c r="E17" s="154">
        <v>56122.539999999994</v>
      </c>
      <c r="F17" s="154">
        <v>44526.64</v>
      </c>
      <c r="G17" s="153">
        <v>23277.58</v>
      </c>
      <c r="H17" s="128">
        <f>SUM(D17:G17)</f>
        <v>182605.45</v>
      </c>
    </row>
    <row r="18" spans="2:17">
      <c r="B18" s="215">
        <v>0.03</v>
      </c>
      <c r="C18" s="88" t="s">
        <v>23</v>
      </c>
      <c r="D18" s="154">
        <v>57197.18</v>
      </c>
      <c r="E18" s="154">
        <v>57899.090000000004</v>
      </c>
      <c r="F18" s="154">
        <v>38638.749999999993</v>
      </c>
      <c r="G18" s="153">
        <v>48076.51</v>
      </c>
      <c r="H18" s="128">
        <f t="shared" si="0"/>
        <v>201811.53</v>
      </c>
    </row>
    <row r="19" spans="2:17">
      <c r="B19" s="215">
        <v>0.03</v>
      </c>
      <c r="C19" s="84" t="s">
        <v>74</v>
      </c>
      <c r="D19" s="154">
        <v>19604</v>
      </c>
      <c r="E19" s="154">
        <v>23301</v>
      </c>
      <c r="F19" s="154">
        <v>13858</v>
      </c>
      <c r="G19" s="153">
        <v>17031</v>
      </c>
      <c r="H19" s="128">
        <f t="shared" si="0"/>
        <v>73794</v>
      </c>
      <c r="I19" s="162" t="s">
        <v>0</v>
      </c>
    </row>
    <row r="20" spans="2:17">
      <c r="B20" s="215">
        <v>0.03</v>
      </c>
      <c r="C20" s="84" t="s">
        <v>75</v>
      </c>
      <c r="D20" s="154">
        <v>1967</v>
      </c>
      <c r="E20" s="154">
        <v>1531</v>
      </c>
      <c r="F20" s="154">
        <v>1315</v>
      </c>
      <c r="G20" s="153">
        <v>1235.5100000000002</v>
      </c>
      <c r="H20" s="128">
        <f t="shared" si="0"/>
        <v>6048.51</v>
      </c>
      <c r="I20" s="162" t="s">
        <v>0</v>
      </c>
      <c r="P20" t="s">
        <v>0</v>
      </c>
    </row>
    <row r="21" spans="2:17">
      <c r="B21" s="215">
        <v>0.05</v>
      </c>
      <c r="C21" s="88" t="s">
        <v>24</v>
      </c>
      <c r="D21" s="154">
        <v>1232923.3999999999</v>
      </c>
      <c r="E21" s="154">
        <v>1225976.8400000003</v>
      </c>
      <c r="F21" s="154">
        <v>1151166.0299999998</v>
      </c>
      <c r="G21" s="153">
        <v>1408149.73</v>
      </c>
      <c r="H21" s="128">
        <f t="shared" si="0"/>
        <v>5018216</v>
      </c>
      <c r="P21" t="s">
        <v>0</v>
      </c>
    </row>
    <row r="22" spans="2:17">
      <c r="B22" s="215">
        <v>0.05</v>
      </c>
      <c r="C22" s="88" t="s">
        <v>25</v>
      </c>
      <c r="D22" s="154">
        <v>4845.05</v>
      </c>
      <c r="E22" s="154">
        <v>3617.4299999999994</v>
      </c>
      <c r="F22" s="154">
        <v>3204.3100000000013</v>
      </c>
      <c r="G22" s="153">
        <v>3219.2099999999991</v>
      </c>
      <c r="H22" s="128">
        <f t="shared" si="0"/>
        <v>14886</v>
      </c>
      <c r="P22" t="s">
        <v>0</v>
      </c>
    </row>
    <row r="23" spans="2:17">
      <c r="B23" s="215">
        <v>0.05</v>
      </c>
      <c r="C23" s="84" t="s">
        <v>26</v>
      </c>
      <c r="D23" s="154">
        <v>87831.44</v>
      </c>
      <c r="E23" s="154">
        <v>54653.06</v>
      </c>
      <c r="F23" s="154">
        <v>14698.459999999992</v>
      </c>
      <c r="G23" s="153">
        <v>19336.890000000014</v>
      </c>
      <c r="H23" s="128">
        <f t="shared" si="0"/>
        <v>176519.85</v>
      </c>
      <c r="I23" s="162" t="s">
        <v>0</v>
      </c>
    </row>
    <row r="24" spans="2:17">
      <c r="B24" s="215">
        <v>0.04</v>
      </c>
      <c r="C24" s="88" t="s">
        <v>28</v>
      </c>
      <c r="D24" s="154">
        <v>13992.41</v>
      </c>
      <c r="E24" s="154">
        <v>7523.3499999999985</v>
      </c>
      <c r="F24" s="154">
        <v>2028.1900000000023</v>
      </c>
      <c r="G24" s="153">
        <v>4867.7099999999991</v>
      </c>
      <c r="H24" s="128">
        <f t="shared" si="0"/>
        <v>28411.66</v>
      </c>
      <c r="I24" s="162" t="s">
        <v>0</v>
      </c>
    </row>
    <row r="25" spans="2:17">
      <c r="B25" s="215">
        <v>0.05</v>
      </c>
      <c r="C25" s="88" t="s">
        <v>29</v>
      </c>
      <c r="D25" s="154">
        <v>72557.710000000006</v>
      </c>
      <c r="E25" s="154">
        <v>46658.5</v>
      </c>
      <c r="F25" s="154">
        <v>28058.659999999989</v>
      </c>
      <c r="G25" s="153">
        <v>44334.890000000029</v>
      </c>
      <c r="H25" s="128">
        <f t="shared" si="0"/>
        <v>191609.76</v>
      </c>
      <c r="I25" s="162" t="s">
        <v>0</v>
      </c>
    </row>
    <row r="26" spans="2:17" ht="15.6">
      <c r="B26" s="215">
        <v>0.05</v>
      </c>
      <c r="C26" s="84" t="s">
        <v>173</v>
      </c>
      <c r="D26" s="173">
        <v>61357.69</v>
      </c>
      <c r="E26" s="173">
        <v>55406.080000000002</v>
      </c>
      <c r="F26" s="173">
        <v>-116763.77</v>
      </c>
      <c r="G26" s="173">
        <v>0</v>
      </c>
      <c r="H26" s="128">
        <f t="shared" si="0"/>
        <v>0</v>
      </c>
      <c r="I26" s="180"/>
      <c r="J26" s="172"/>
      <c r="K26" s="172"/>
      <c r="L26" s="172"/>
      <c r="M26" s="172"/>
      <c r="N26" s="172"/>
      <c r="O26" s="172"/>
      <c r="P26" s="172"/>
      <c r="Q26" s="172"/>
    </row>
    <row r="27" spans="2:17">
      <c r="B27" s="215">
        <v>0.05</v>
      </c>
      <c r="C27" s="84" t="s">
        <v>30</v>
      </c>
      <c r="D27" s="154">
        <v>252375.66</v>
      </c>
      <c r="E27" s="154">
        <v>265307.71999999997</v>
      </c>
      <c r="F27" s="154">
        <v>172277.18999999997</v>
      </c>
      <c r="G27" s="153">
        <v>220398.7000000001</v>
      </c>
      <c r="H27" s="128">
        <f>D27+E27+F27+G27</f>
        <v>910359.27</v>
      </c>
      <c r="I27" s="162" t="s">
        <v>0</v>
      </c>
    </row>
    <row r="28" spans="2:17">
      <c r="B28" s="215">
        <v>0.05</v>
      </c>
      <c r="C28" s="88" t="s">
        <v>31</v>
      </c>
      <c r="D28" s="154">
        <v>1428.43</v>
      </c>
      <c r="E28" s="154">
        <v>1400.4799999999998</v>
      </c>
      <c r="F28" s="154">
        <v>1512.3400000000004</v>
      </c>
      <c r="G28" s="153">
        <v>1860.4799999999998</v>
      </c>
      <c r="H28" s="128">
        <f t="shared" si="0"/>
        <v>6201.73</v>
      </c>
    </row>
    <row r="29" spans="2:17">
      <c r="B29" s="218">
        <v>3.5000000000000003E-2</v>
      </c>
      <c r="C29" s="88" t="s">
        <v>73</v>
      </c>
      <c r="D29" s="154">
        <v>4460.21</v>
      </c>
      <c r="E29" s="154">
        <v>5899.2499999999991</v>
      </c>
      <c r="F29" s="154">
        <v>3627.5800000000017</v>
      </c>
      <c r="G29" s="153">
        <v>4777.4799999999987</v>
      </c>
      <c r="H29" s="128">
        <f t="shared" si="0"/>
        <v>18764.52</v>
      </c>
      <c r="I29" s="162" t="s">
        <v>0</v>
      </c>
    </row>
    <row r="30" spans="2:17">
      <c r="B30" s="219">
        <v>0.05</v>
      </c>
      <c r="C30" s="88" t="s">
        <v>32</v>
      </c>
      <c r="D30" s="154">
        <v>5101.8100000000004</v>
      </c>
      <c r="E30" s="154">
        <v>3117.5999999999995</v>
      </c>
      <c r="F30" s="154">
        <v>2302.9899999999998</v>
      </c>
      <c r="G30" s="153">
        <v>3578.4700000000021</v>
      </c>
      <c r="H30" s="128">
        <f t="shared" si="0"/>
        <v>14100.870000000003</v>
      </c>
    </row>
    <row r="31" spans="2:17">
      <c r="B31" s="220">
        <v>0.05</v>
      </c>
      <c r="C31" s="84" t="s">
        <v>79</v>
      </c>
      <c r="D31" s="154">
        <v>119849.8</v>
      </c>
      <c r="E31" s="154">
        <v>152989.53000000003</v>
      </c>
      <c r="F31" s="154">
        <v>117888.27999999996</v>
      </c>
      <c r="G31" s="153">
        <v>131902.5</v>
      </c>
      <c r="H31" s="128">
        <f t="shared" si="0"/>
        <v>522630.11</v>
      </c>
      <c r="I31" s="162" t="s">
        <v>0</v>
      </c>
    </row>
    <row r="32" spans="2:17">
      <c r="B32" s="216">
        <v>0.05</v>
      </c>
      <c r="C32" s="84" t="s">
        <v>33</v>
      </c>
      <c r="D32" s="154">
        <v>24763.57</v>
      </c>
      <c r="E32" s="154">
        <v>9929.6900000000023</v>
      </c>
      <c r="F32" s="154">
        <v>5781.9199999999983</v>
      </c>
      <c r="G32" s="153">
        <v>5816.75</v>
      </c>
      <c r="H32" s="128">
        <f t="shared" ref="H32" si="1">D32+E32+F32+G32</f>
        <v>46291.93</v>
      </c>
      <c r="I32" s="162" t="s">
        <v>0</v>
      </c>
    </row>
    <row r="33" spans="2:13">
      <c r="B33" s="216">
        <v>0.03</v>
      </c>
      <c r="C33" s="84" t="s">
        <v>152</v>
      </c>
      <c r="D33" s="154">
        <v>21764.19</v>
      </c>
      <c r="E33" s="154">
        <v>14716.960000000003</v>
      </c>
      <c r="F33" s="154">
        <v>15026.23</v>
      </c>
      <c r="G33" s="153">
        <v>4212.739999999998</v>
      </c>
      <c r="H33" s="128">
        <f t="shared" si="0"/>
        <v>55720.12</v>
      </c>
      <c r="J33" s="167"/>
      <c r="K33" s="167"/>
      <c r="L33" s="167"/>
      <c r="M33" s="167"/>
    </row>
    <row r="34" spans="2:13">
      <c r="B34" s="219">
        <v>0.05</v>
      </c>
      <c r="C34" s="84" t="s">
        <v>71</v>
      </c>
      <c r="D34" s="154">
        <v>11548.02</v>
      </c>
      <c r="E34" s="154">
        <v>3572.6099999999988</v>
      </c>
      <c r="F34" s="154">
        <v>2264.83</v>
      </c>
      <c r="G34" s="153">
        <v>18121.87</v>
      </c>
      <c r="H34" s="128">
        <f t="shared" si="0"/>
        <v>35507.33</v>
      </c>
      <c r="I34" s="162" t="s">
        <v>0</v>
      </c>
      <c r="J34" s="167"/>
      <c r="K34" s="167"/>
      <c r="L34" s="167"/>
      <c r="M34" s="167"/>
    </row>
    <row r="35" spans="2:13">
      <c r="B35" s="219">
        <v>0.05</v>
      </c>
      <c r="C35" s="84" t="s">
        <v>34</v>
      </c>
      <c r="D35" s="154">
        <v>33104.379999999997</v>
      </c>
      <c r="E35" s="154">
        <v>20895.190000000002</v>
      </c>
      <c r="F35" s="154">
        <v>9690.9800000000032</v>
      </c>
      <c r="G35" s="153">
        <v>16788.410000000011</v>
      </c>
      <c r="H35" s="128">
        <f t="shared" si="0"/>
        <v>80478.960000000021</v>
      </c>
      <c r="J35" s="167"/>
      <c r="K35" s="167"/>
      <c r="L35" s="167"/>
      <c r="M35" s="167"/>
    </row>
    <row r="36" spans="2:13">
      <c r="B36" s="219">
        <v>0.05</v>
      </c>
      <c r="C36" s="84" t="s">
        <v>153</v>
      </c>
      <c r="D36" s="154">
        <v>6349.19</v>
      </c>
      <c r="E36" s="154">
        <v>9264.2099999999991</v>
      </c>
      <c r="F36" s="154">
        <v>16074.570000000003</v>
      </c>
      <c r="G36" s="153">
        <v>10810.43</v>
      </c>
      <c r="H36" s="128">
        <f t="shared" ref="H36" si="2">D36+E36+F36+G36</f>
        <v>42498.400000000001</v>
      </c>
      <c r="I36" s="162" t="s">
        <v>0</v>
      </c>
      <c r="J36" s="167"/>
      <c r="K36" s="167"/>
      <c r="L36" s="167"/>
      <c r="M36" s="167"/>
    </row>
    <row r="37" spans="2:13">
      <c r="B37" s="219">
        <v>0.05</v>
      </c>
      <c r="C37" s="84" t="s">
        <v>35</v>
      </c>
      <c r="D37" s="154">
        <v>486354</v>
      </c>
      <c r="E37" s="154">
        <v>426755</v>
      </c>
      <c r="F37" s="154">
        <v>290060</v>
      </c>
      <c r="G37" s="153">
        <v>447641.32000000007</v>
      </c>
      <c r="H37" s="128">
        <f t="shared" si="0"/>
        <v>1650810.32</v>
      </c>
      <c r="I37" s="162" t="s">
        <v>0</v>
      </c>
      <c r="J37" s="167"/>
      <c r="K37" s="167"/>
      <c r="L37" s="167"/>
      <c r="M37" s="167"/>
    </row>
    <row r="38" spans="2:13">
      <c r="B38" s="221">
        <v>2.5</v>
      </c>
      <c r="C38" s="84" t="s">
        <v>154</v>
      </c>
      <c r="D38" s="154">
        <v>223225</v>
      </c>
      <c r="E38" s="154">
        <v>207292</v>
      </c>
      <c r="F38" s="154">
        <v>160808</v>
      </c>
      <c r="G38" s="153">
        <v>215817.5</v>
      </c>
      <c r="H38" s="128">
        <f t="shared" si="0"/>
        <v>807142.5</v>
      </c>
      <c r="I38" s="162" t="s">
        <v>0</v>
      </c>
      <c r="J38" s="167"/>
      <c r="K38" s="167"/>
      <c r="L38" s="167"/>
      <c r="M38" s="167"/>
    </row>
    <row r="39" spans="2:13">
      <c r="B39" s="219">
        <v>0.05</v>
      </c>
      <c r="C39" s="84" t="s">
        <v>36</v>
      </c>
      <c r="D39" s="154">
        <v>9661.7800000000007</v>
      </c>
      <c r="E39" s="154">
        <v>9551.35</v>
      </c>
      <c r="F39" s="154">
        <v>5866.82</v>
      </c>
      <c r="G39" s="153">
        <v>7028.4599999999973</v>
      </c>
      <c r="H39" s="128">
        <f t="shared" si="0"/>
        <v>32108.409999999996</v>
      </c>
      <c r="I39" s="162" t="s">
        <v>0</v>
      </c>
      <c r="J39" s="167"/>
      <c r="K39" s="167"/>
      <c r="L39" s="167"/>
      <c r="M39" s="167"/>
    </row>
    <row r="40" spans="2:13">
      <c r="B40" s="216">
        <v>0.05</v>
      </c>
      <c r="C40" s="84" t="s">
        <v>37</v>
      </c>
      <c r="D40" s="154">
        <v>532678.71</v>
      </c>
      <c r="E40" s="154">
        <v>495944.59000000008</v>
      </c>
      <c r="F40" s="154">
        <v>352059.36999999988</v>
      </c>
      <c r="G40" s="153">
        <v>434573.83000000007</v>
      </c>
      <c r="H40" s="128">
        <f t="shared" si="0"/>
        <v>1815256.5</v>
      </c>
      <c r="I40" s="162" t="s">
        <v>0</v>
      </c>
      <c r="J40" s="167"/>
      <c r="K40" s="167"/>
      <c r="L40" s="167"/>
      <c r="M40" s="167"/>
    </row>
    <row r="41" spans="2:13">
      <c r="B41" s="215">
        <v>0.05</v>
      </c>
      <c r="C41" s="88" t="s">
        <v>38</v>
      </c>
      <c r="D41" s="154">
        <v>147437.01999999999</v>
      </c>
      <c r="E41" s="154">
        <v>150120.00000000003</v>
      </c>
      <c r="F41" s="154">
        <v>110289.65999999997</v>
      </c>
      <c r="G41" s="153">
        <v>128307.80999999997</v>
      </c>
      <c r="H41" s="128">
        <f t="shared" si="0"/>
        <v>536154.49</v>
      </c>
      <c r="J41" s="167"/>
      <c r="K41" s="167"/>
      <c r="L41" s="167"/>
      <c r="M41" s="167"/>
    </row>
    <row r="42" spans="2:13">
      <c r="B42" s="215">
        <v>0.03</v>
      </c>
      <c r="C42" s="88" t="s">
        <v>39</v>
      </c>
      <c r="D42" s="154">
        <v>88.08</v>
      </c>
      <c r="E42" s="154">
        <v>304.98</v>
      </c>
      <c r="F42" s="154">
        <v>73.129999999999981</v>
      </c>
      <c r="G42" s="153">
        <v>111.25000000000004</v>
      </c>
      <c r="H42" s="128">
        <f t="shared" si="0"/>
        <v>577.44000000000005</v>
      </c>
      <c r="J42" s="167"/>
      <c r="K42" s="167"/>
      <c r="L42" s="167"/>
      <c r="M42" s="167"/>
    </row>
    <row r="43" spans="2:13">
      <c r="B43" s="215">
        <v>0.05</v>
      </c>
      <c r="C43" s="88" t="s">
        <v>40</v>
      </c>
      <c r="D43" s="154">
        <v>435505.98</v>
      </c>
      <c r="E43" s="154">
        <v>471352.37</v>
      </c>
      <c r="F43" s="154">
        <v>385217.80999999994</v>
      </c>
      <c r="G43" s="153">
        <v>502003.4500000003</v>
      </c>
      <c r="H43" s="128">
        <f t="shared" si="0"/>
        <v>1794079.6100000003</v>
      </c>
      <c r="J43" s="167"/>
      <c r="K43" s="167"/>
      <c r="L43" s="167"/>
      <c r="M43" s="167"/>
    </row>
    <row r="44" spans="2:13">
      <c r="B44" s="216">
        <v>0.05</v>
      </c>
      <c r="C44" s="84" t="s">
        <v>42</v>
      </c>
      <c r="D44" s="154">
        <v>13599.68</v>
      </c>
      <c r="E44" s="154">
        <v>3413.6800000000003</v>
      </c>
      <c r="F44" s="154">
        <v>13741.73</v>
      </c>
      <c r="G44" s="153">
        <v>10982.990000000002</v>
      </c>
      <c r="H44" s="128">
        <f t="shared" si="0"/>
        <v>41738.080000000002</v>
      </c>
      <c r="J44" s="167"/>
      <c r="K44" s="167"/>
      <c r="L44" s="167"/>
      <c r="M44" s="167"/>
    </row>
    <row r="45" spans="2:13">
      <c r="B45" s="219">
        <v>0.05</v>
      </c>
      <c r="C45" s="84" t="s">
        <v>43</v>
      </c>
      <c r="D45" s="154">
        <v>687611.94</v>
      </c>
      <c r="E45" s="154">
        <v>693246.99</v>
      </c>
      <c r="F45" s="154">
        <v>603853.69999999995</v>
      </c>
      <c r="G45" s="153">
        <v>799775.78</v>
      </c>
      <c r="H45" s="128">
        <f t="shared" si="0"/>
        <v>2784488.41</v>
      </c>
      <c r="J45" s="167"/>
      <c r="K45" s="167"/>
      <c r="L45" s="167"/>
      <c r="M45" s="167"/>
    </row>
    <row r="46" spans="2:13">
      <c r="B46" s="221">
        <v>2.5</v>
      </c>
      <c r="C46" s="84" t="s">
        <v>160</v>
      </c>
      <c r="D46" s="154">
        <v>328175.19</v>
      </c>
      <c r="E46" s="154">
        <v>323429.65999999997</v>
      </c>
      <c r="F46" s="154">
        <v>293816.11000000004</v>
      </c>
      <c r="G46" s="153">
        <v>344796.13000000006</v>
      </c>
      <c r="H46" s="128">
        <f t="shared" si="0"/>
        <v>1290217.0900000001</v>
      </c>
      <c r="J46" s="167"/>
      <c r="K46" s="167"/>
      <c r="L46" s="167"/>
      <c r="M46" s="167"/>
    </row>
    <row r="47" spans="2:13">
      <c r="B47" s="215">
        <v>0.05</v>
      </c>
      <c r="C47" s="84" t="s">
        <v>44</v>
      </c>
      <c r="D47" s="154">
        <v>134166.94</v>
      </c>
      <c r="E47" s="154">
        <v>109784.1</v>
      </c>
      <c r="F47" s="154">
        <v>246478.99999999994</v>
      </c>
      <c r="G47" s="153">
        <v>191799.82</v>
      </c>
      <c r="H47" s="128">
        <f t="shared" si="0"/>
        <v>682229.85999999987</v>
      </c>
      <c r="J47" s="167"/>
      <c r="K47" s="167"/>
      <c r="L47" s="167"/>
      <c r="M47" s="167"/>
    </row>
    <row r="48" spans="2:13">
      <c r="B48" s="219">
        <v>0.05</v>
      </c>
      <c r="C48" s="84" t="s">
        <v>45</v>
      </c>
      <c r="D48" s="154">
        <v>4862.32</v>
      </c>
      <c r="E48" s="154">
        <v>2718.9300000000003</v>
      </c>
      <c r="F48" s="154">
        <v>1813.1200000000008</v>
      </c>
      <c r="G48" s="153">
        <v>4829.119999999999</v>
      </c>
      <c r="H48" s="128">
        <f t="shared" si="0"/>
        <v>14223.49</v>
      </c>
    </row>
    <row r="49" spans="2:17">
      <c r="B49" s="219">
        <v>0.05</v>
      </c>
      <c r="C49" s="84" t="s">
        <v>46</v>
      </c>
      <c r="D49" s="154">
        <v>68860.679999999993</v>
      </c>
      <c r="E49" s="154">
        <v>55552.420000000013</v>
      </c>
      <c r="F49" s="154">
        <v>83661.47</v>
      </c>
      <c r="G49" s="153">
        <v>77953.070000000007</v>
      </c>
      <c r="H49" s="128">
        <f t="shared" si="0"/>
        <v>286027.64</v>
      </c>
    </row>
    <row r="50" spans="2:17">
      <c r="B50" s="215">
        <v>0.04</v>
      </c>
      <c r="C50" s="84" t="s">
        <v>48</v>
      </c>
      <c r="D50" s="154">
        <v>33099.870000000003</v>
      </c>
      <c r="E50" s="154">
        <v>37868.639999999992</v>
      </c>
      <c r="F50" s="154">
        <v>24018.560000000012</v>
      </c>
      <c r="G50" s="153">
        <v>31928.809999999998</v>
      </c>
      <c r="H50" s="128">
        <f t="shared" si="0"/>
        <v>126915.88</v>
      </c>
    </row>
    <row r="51" spans="2:17">
      <c r="B51" s="220">
        <v>0.05</v>
      </c>
      <c r="C51" s="88" t="s">
        <v>172</v>
      </c>
      <c r="D51" s="173">
        <v>26564.34</v>
      </c>
      <c r="E51" s="173">
        <v>50143.8</v>
      </c>
      <c r="F51" s="173">
        <v>15789.180000000004</v>
      </c>
      <c r="G51" s="173">
        <v>-20795.590000000015</v>
      </c>
      <c r="H51" s="128">
        <f t="shared" si="0"/>
        <v>71701.73</v>
      </c>
      <c r="I51" s="178"/>
      <c r="J51" s="172"/>
      <c r="K51" s="172"/>
      <c r="L51" s="172"/>
      <c r="M51" s="172"/>
      <c r="N51" s="172"/>
      <c r="O51" s="172"/>
      <c r="P51" s="172"/>
      <c r="Q51" s="172"/>
    </row>
    <row r="52" spans="2:17">
      <c r="B52" s="219">
        <v>0.05</v>
      </c>
      <c r="C52" s="88" t="s">
        <v>50</v>
      </c>
      <c r="D52" s="154">
        <v>1455.22</v>
      </c>
      <c r="E52" s="154">
        <v>4119.2199999999993</v>
      </c>
      <c r="F52" s="154">
        <v>1812.4200000000003</v>
      </c>
      <c r="G52" s="153">
        <v>1010.1700000000012</v>
      </c>
      <c r="H52" s="128">
        <f t="shared" si="0"/>
        <v>8397.0300000000007</v>
      </c>
      <c r="I52" s="162" t="s">
        <v>0</v>
      </c>
    </row>
    <row r="53" spans="2:17">
      <c r="B53" s="219">
        <v>0.05</v>
      </c>
      <c r="C53" s="88" t="s">
        <v>116</v>
      </c>
      <c r="D53" s="154">
        <v>3090.97</v>
      </c>
      <c r="E53" s="154">
        <v>5634.35</v>
      </c>
      <c r="F53" s="154">
        <v>6848.130000000001</v>
      </c>
      <c r="G53" s="153">
        <v>5047.5299999999988</v>
      </c>
      <c r="H53" s="128">
        <f t="shared" si="0"/>
        <v>20620.98</v>
      </c>
    </row>
    <row r="54" spans="2:17">
      <c r="B54" s="219">
        <v>0.03</v>
      </c>
      <c r="C54" s="84" t="s">
        <v>51</v>
      </c>
      <c r="D54" s="154">
        <v>337.83</v>
      </c>
      <c r="E54" s="154">
        <v>353.94</v>
      </c>
      <c r="F54" s="154">
        <v>283.81000000000012</v>
      </c>
      <c r="G54" s="153">
        <v>507.20999999999975</v>
      </c>
      <c r="H54" s="128">
        <f t="shared" si="0"/>
        <v>1482.79</v>
      </c>
      <c r="I54" s="162" t="s">
        <v>0</v>
      </c>
    </row>
    <row r="55" spans="2:17">
      <c r="B55" s="219">
        <v>0.05</v>
      </c>
      <c r="C55" s="84" t="s">
        <v>177</v>
      </c>
      <c r="D55" s="154">
        <v>85989.01</v>
      </c>
      <c r="E55" s="154">
        <v>93202.53</v>
      </c>
      <c r="F55" s="154">
        <v>0</v>
      </c>
      <c r="G55" s="153">
        <v>154110.73000000001</v>
      </c>
      <c r="H55" s="128">
        <f t="shared" si="0"/>
        <v>333302.27</v>
      </c>
      <c r="J55" s="167"/>
      <c r="K55" s="167"/>
      <c r="L55" s="167"/>
    </row>
    <row r="56" spans="2:17">
      <c r="B56" s="219">
        <v>0.03</v>
      </c>
      <c r="C56" s="88" t="s">
        <v>53</v>
      </c>
      <c r="D56" s="154">
        <v>1957.45</v>
      </c>
      <c r="E56" s="154">
        <v>1208.6099999999999</v>
      </c>
      <c r="F56" s="154">
        <v>805.49000000000046</v>
      </c>
      <c r="G56" s="153">
        <v>959.98999999999955</v>
      </c>
      <c r="H56" s="128">
        <f t="shared" si="0"/>
        <v>4931.54</v>
      </c>
      <c r="I56" s="162" t="s">
        <v>0</v>
      </c>
    </row>
    <row r="57" spans="2:17">
      <c r="B57" s="219">
        <v>0.05</v>
      </c>
      <c r="C57" s="84" t="s">
        <v>54</v>
      </c>
      <c r="D57" s="154">
        <v>40211.550000000003</v>
      </c>
      <c r="E57" s="154">
        <v>42819.929999999993</v>
      </c>
      <c r="F57" s="154">
        <v>30761.449999999997</v>
      </c>
      <c r="G57" s="153">
        <v>36555.050000000017</v>
      </c>
      <c r="H57" s="128">
        <f t="shared" si="0"/>
        <v>150347.98000000001</v>
      </c>
      <c r="I57" s="162" t="s">
        <v>0</v>
      </c>
    </row>
    <row r="58" spans="2:17">
      <c r="B58" s="219">
        <v>0.05</v>
      </c>
      <c r="C58" s="84" t="s">
        <v>55</v>
      </c>
      <c r="D58" s="154">
        <v>179203.39</v>
      </c>
      <c r="E58" s="154">
        <v>114734.72999999998</v>
      </c>
      <c r="F58" s="154">
        <v>67022.489999999991</v>
      </c>
      <c r="G58" s="153">
        <v>105200.63</v>
      </c>
      <c r="H58" s="128">
        <f t="shared" si="0"/>
        <v>466161.24</v>
      </c>
      <c r="I58" s="162" t="s">
        <v>0</v>
      </c>
    </row>
    <row r="59" spans="2:17">
      <c r="B59" s="219">
        <v>0.05</v>
      </c>
      <c r="C59" s="84" t="s">
        <v>56</v>
      </c>
      <c r="D59" s="154">
        <v>388382.95</v>
      </c>
      <c r="E59" s="154">
        <v>182862.64999999997</v>
      </c>
      <c r="F59" s="154">
        <v>340865.71999999991</v>
      </c>
      <c r="G59" s="153">
        <v>137211.91000000009</v>
      </c>
      <c r="H59" s="128">
        <f t="shared" si="0"/>
        <v>1049323.23</v>
      </c>
      <c r="I59" s="162" t="s">
        <v>0</v>
      </c>
    </row>
    <row r="60" spans="2:17">
      <c r="B60" s="219">
        <v>0.05</v>
      </c>
      <c r="C60" s="88" t="s">
        <v>126</v>
      </c>
      <c r="D60" s="154">
        <v>5956</v>
      </c>
      <c r="E60" s="154">
        <v>4765.66</v>
      </c>
      <c r="F60" s="154">
        <v>3259.4500000000007</v>
      </c>
      <c r="G60" s="153">
        <v>4109.4599999999991</v>
      </c>
      <c r="H60" s="128">
        <f t="shared" si="0"/>
        <v>18090.57</v>
      </c>
    </row>
    <row r="61" spans="2:17">
      <c r="B61" s="219">
        <v>0.05</v>
      </c>
      <c r="C61" s="88" t="s">
        <v>57</v>
      </c>
      <c r="D61" s="154">
        <v>128855.53</v>
      </c>
      <c r="E61" s="154">
        <v>138930.12999999998</v>
      </c>
      <c r="F61" s="154">
        <v>120265.89000000001</v>
      </c>
      <c r="G61" s="153">
        <v>150860.55999999997</v>
      </c>
      <c r="H61" s="128">
        <f t="shared" si="0"/>
        <v>538912.11</v>
      </c>
      <c r="I61" s="162" t="s">
        <v>0</v>
      </c>
    </row>
    <row r="62" spans="2:17">
      <c r="B62" s="219">
        <v>0.05</v>
      </c>
      <c r="C62" s="84" t="s">
        <v>58</v>
      </c>
      <c r="D62" s="154">
        <v>341375.44</v>
      </c>
      <c r="E62" s="154">
        <v>416245.24000000005</v>
      </c>
      <c r="F62" s="154">
        <v>300499.50999999995</v>
      </c>
      <c r="G62" s="153">
        <v>393684.6999999999</v>
      </c>
      <c r="H62" s="128">
        <f t="shared" si="0"/>
        <v>1451804.89</v>
      </c>
      <c r="I62" s="162" t="s">
        <v>0</v>
      </c>
    </row>
    <row r="63" spans="2:17">
      <c r="B63" s="222">
        <v>2.5</v>
      </c>
      <c r="C63" s="84" t="s">
        <v>155</v>
      </c>
      <c r="D63" s="154">
        <v>170040</v>
      </c>
      <c r="E63" s="154">
        <v>209687.40000000002</v>
      </c>
      <c r="F63" s="154">
        <v>170112.5</v>
      </c>
      <c r="G63" s="153">
        <v>193990</v>
      </c>
      <c r="H63" s="128">
        <f t="shared" si="0"/>
        <v>743829.9</v>
      </c>
      <c r="I63" s="162" t="s">
        <v>0</v>
      </c>
      <c r="J63" s="167"/>
      <c r="K63" s="167"/>
    </row>
    <row r="64" spans="2:17">
      <c r="B64" s="220">
        <v>0.05</v>
      </c>
      <c r="C64" s="84" t="s">
        <v>59</v>
      </c>
      <c r="D64" s="154">
        <v>989198</v>
      </c>
      <c r="E64" s="154">
        <v>719964</v>
      </c>
      <c r="F64" s="154">
        <v>746153</v>
      </c>
      <c r="G64" s="153">
        <v>556715</v>
      </c>
      <c r="H64" s="128">
        <f t="shared" si="0"/>
        <v>3012030</v>
      </c>
      <c r="I64" s="162" t="s">
        <v>0</v>
      </c>
    </row>
    <row r="65" spans="2:15">
      <c r="B65" s="219">
        <v>0.05</v>
      </c>
      <c r="C65" s="84" t="s">
        <v>60</v>
      </c>
      <c r="D65" s="154">
        <v>123454.24</v>
      </c>
      <c r="E65" s="154">
        <v>79292.95</v>
      </c>
      <c r="F65" s="154">
        <v>64859.689999999988</v>
      </c>
      <c r="G65" s="153">
        <v>68677.749999999985</v>
      </c>
      <c r="H65" s="128">
        <f t="shared" si="0"/>
        <v>336284.63</v>
      </c>
    </row>
    <row r="66" spans="2:15" ht="15.6">
      <c r="B66" s="219">
        <v>0.05</v>
      </c>
      <c r="C66" s="94" t="s">
        <v>171</v>
      </c>
      <c r="D66" s="154">
        <v>3511003</v>
      </c>
      <c r="E66" s="154">
        <v>5774887</v>
      </c>
      <c r="F66" s="154">
        <v>3711195</v>
      </c>
      <c r="G66" s="153">
        <v>5000156</v>
      </c>
      <c r="H66" s="128">
        <f t="shared" si="0"/>
        <v>17997241</v>
      </c>
      <c r="I66" s="180"/>
      <c r="J66" s="174"/>
      <c r="K66" s="174"/>
      <c r="L66" s="174"/>
      <c r="M66" s="174"/>
    </row>
    <row r="67" spans="2:15" ht="15.6">
      <c r="B67" s="217">
        <v>0.02</v>
      </c>
      <c r="C67" s="94" t="s">
        <v>170</v>
      </c>
      <c r="D67" s="173">
        <v>0</v>
      </c>
      <c r="E67" s="173">
        <v>0</v>
      </c>
      <c r="F67" s="173">
        <v>0</v>
      </c>
      <c r="G67" s="173">
        <v>0</v>
      </c>
      <c r="H67" s="128">
        <f t="shared" si="0"/>
        <v>0</v>
      </c>
      <c r="I67" s="180"/>
      <c r="J67" s="172"/>
      <c r="K67" s="172"/>
      <c r="L67" s="172"/>
      <c r="M67" s="172"/>
      <c r="N67" s="167"/>
      <c r="O67" s="167"/>
    </row>
    <row r="68" spans="2:15">
      <c r="B68" s="219">
        <v>0.05</v>
      </c>
      <c r="C68" s="84" t="s">
        <v>61</v>
      </c>
      <c r="D68" s="154">
        <v>268900.71999999997</v>
      </c>
      <c r="E68" s="154">
        <v>185907.06000000006</v>
      </c>
      <c r="F68" s="154">
        <v>185317.61</v>
      </c>
      <c r="G68" s="153">
        <v>213329.24</v>
      </c>
      <c r="H68" s="128">
        <f t="shared" si="0"/>
        <v>853454.63</v>
      </c>
      <c r="K68" s="44"/>
    </row>
    <row r="69" spans="2:15">
      <c r="B69" s="219">
        <v>0.05</v>
      </c>
      <c r="C69" s="84" t="s">
        <v>62</v>
      </c>
      <c r="D69" s="154">
        <v>117590.82</v>
      </c>
      <c r="E69" s="154">
        <v>71744.69</v>
      </c>
      <c r="F69" s="154">
        <v>117462.02000000002</v>
      </c>
      <c r="G69" s="153">
        <v>109078.68999999994</v>
      </c>
      <c r="H69" s="128">
        <f t="shared" si="0"/>
        <v>415876.22</v>
      </c>
      <c r="I69" s="162" t="s">
        <v>0</v>
      </c>
    </row>
    <row r="70" spans="2:15">
      <c r="B70" s="219">
        <v>0.05</v>
      </c>
      <c r="C70" s="88" t="s">
        <v>63</v>
      </c>
      <c r="D70" s="154">
        <v>121239.71</v>
      </c>
      <c r="E70" s="154">
        <v>141134.63</v>
      </c>
      <c r="F70" s="154">
        <v>111424.86</v>
      </c>
      <c r="G70" s="153">
        <v>133210</v>
      </c>
      <c r="H70" s="128">
        <f t="shared" si="0"/>
        <v>507009.2</v>
      </c>
      <c r="I70" s="162" t="s">
        <v>0</v>
      </c>
    </row>
    <row r="71" spans="2:15">
      <c r="B71" s="222">
        <v>2.5</v>
      </c>
      <c r="C71" s="88" t="s">
        <v>156</v>
      </c>
      <c r="D71" s="154">
        <v>50909.01</v>
      </c>
      <c r="E71" s="154">
        <v>60230.950000000004</v>
      </c>
      <c r="F71" s="154">
        <v>44635.969999999979</v>
      </c>
      <c r="G71" s="153">
        <v>54654.980000000018</v>
      </c>
      <c r="H71" s="128">
        <f t="shared" si="0"/>
        <v>210430.91</v>
      </c>
      <c r="J71" s="167"/>
      <c r="K71" s="167"/>
    </row>
    <row r="72" spans="2:15">
      <c r="B72" s="215" t="s">
        <v>176</v>
      </c>
      <c r="C72" s="84" t="s">
        <v>64</v>
      </c>
      <c r="D72" s="154">
        <v>2296.1799999999998</v>
      </c>
      <c r="E72" s="154">
        <v>1929.4600000000005</v>
      </c>
      <c r="F72" s="154">
        <v>2049.9100000000003</v>
      </c>
      <c r="G72" s="153">
        <v>1810.0099999999989</v>
      </c>
      <c r="H72" s="128">
        <f t="shared" si="0"/>
        <v>8085.5599999999995</v>
      </c>
    </row>
    <row r="73" spans="2:15">
      <c r="B73" s="219">
        <v>0.05</v>
      </c>
      <c r="C73" s="88" t="s">
        <v>157</v>
      </c>
      <c r="D73" s="154">
        <v>16542.22</v>
      </c>
      <c r="E73" s="154">
        <v>15277.46</v>
      </c>
      <c r="F73" s="154">
        <v>13966.010000000002</v>
      </c>
      <c r="G73" s="153">
        <v>16001.809999999998</v>
      </c>
      <c r="H73" s="128">
        <f t="shared" si="0"/>
        <v>61787.5</v>
      </c>
    </row>
    <row r="74" spans="2:15">
      <c r="B74" s="219">
        <v>0.05</v>
      </c>
      <c r="C74" s="84" t="s">
        <v>65</v>
      </c>
      <c r="D74" s="154">
        <v>438903.26</v>
      </c>
      <c r="E74" s="154">
        <v>364276.64</v>
      </c>
      <c r="F74" s="154">
        <v>303335.22000000009</v>
      </c>
      <c r="G74" s="153">
        <v>301331.70000000007</v>
      </c>
      <c r="H74" s="128">
        <f t="shared" si="0"/>
        <v>1407846.8200000003</v>
      </c>
    </row>
    <row r="75" spans="2:15">
      <c r="B75" s="220">
        <v>0.05</v>
      </c>
      <c r="C75" s="84" t="s">
        <v>66</v>
      </c>
      <c r="D75" s="154">
        <v>70429.5</v>
      </c>
      <c r="E75" s="154">
        <v>66922.26999999999</v>
      </c>
      <c r="F75" s="154">
        <v>366686.71999999997</v>
      </c>
      <c r="G75" s="153">
        <v>167237.99000000002</v>
      </c>
      <c r="H75" s="128">
        <f t="shared" si="0"/>
        <v>671276.48</v>
      </c>
    </row>
    <row r="76" spans="2:15">
      <c r="B76" s="215">
        <v>0.05</v>
      </c>
      <c r="C76" s="84" t="s">
        <v>159</v>
      </c>
      <c r="D76" s="154">
        <v>113171.43</v>
      </c>
      <c r="E76" s="154">
        <v>119012.72</v>
      </c>
      <c r="F76" s="154">
        <v>117567.29000000001</v>
      </c>
      <c r="G76" s="153">
        <v>150908.53999999998</v>
      </c>
      <c r="H76" s="128">
        <f t="shared" si="0"/>
        <v>500659.98</v>
      </c>
    </row>
    <row r="77" spans="2:15">
      <c r="B77" s="217">
        <v>0.01</v>
      </c>
      <c r="C77" s="84" t="s">
        <v>158</v>
      </c>
      <c r="D77" s="154">
        <v>20585.95</v>
      </c>
      <c r="E77" s="154">
        <v>22656.51</v>
      </c>
      <c r="F77" s="154">
        <v>21976.609999999997</v>
      </c>
      <c r="G77" s="153">
        <v>29996.600000000002</v>
      </c>
      <c r="H77" s="128">
        <f t="shared" si="0"/>
        <v>95215.67</v>
      </c>
      <c r="I77" s="175"/>
      <c r="J77" s="167"/>
      <c r="K77" s="167"/>
    </row>
    <row r="78" spans="2:15">
      <c r="B78" s="219">
        <v>0.05</v>
      </c>
      <c r="C78" s="84" t="s">
        <v>68</v>
      </c>
      <c r="D78" s="154">
        <v>256516.01</v>
      </c>
      <c r="E78" s="154">
        <v>178550.47999999998</v>
      </c>
      <c r="F78" s="154">
        <v>154420.19999999995</v>
      </c>
      <c r="G78" s="153">
        <v>236662.91000000003</v>
      </c>
      <c r="H78" s="128">
        <f t="shared" si="0"/>
        <v>826149.6</v>
      </c>
    </row>
    <row r="79" spans="2:15">
      <c r="B79" s="220">
        <v>0.05</v>
      </c>
      <c r="C79" s="88" t="s">
        <v>81</v>
      </c>
      <c r="D79" s="154">
        <v>20439.5</v>
      </c>
      <c r="E79" s="154">
        <v>20485.269999999997</v>
      </c>
      <c r="F79" s="154">
        <v>15610.630000000005</v>
      </c>
      <c r="G79" s="153">
        <v>9563.0499999999956</v>
      </c>
      <c r="H79" s="128">
        <f t="shared" ref="H79:H80" si="3">D79+E79+F79+G79</f>
        <v>66098.45</v>
      </c>
    </row>
    <row r="80" spans="2:15">
      <c r="B80" s="219">
        <v>0.03</v>
      </c>
      <c r="C80" s="84" t="s">
        <v>69</v>
      </c>
      <c r="D80" s="154">
        <v>418.28</v>
      </c>
      <c r="E80" s="154">
        <v>329.22</v>
      </c>
      <c r="F80" s="154">
        <v>187.23</v>
      </c>
      <c r="G80" s="153">
        <v>2369.52</v>
      </c>
      <c r="H80" s="128">
        <v>3304.25</v>
      </c>
      <c r="J80" s="167"/>
      <c r="K80" s="167"/>
      <c r="L80" s="167"/>
      <c r="M80" s="167"/>
    </row>
    <row r="81" spans="2:13">
      <c r="B81" s="227"/>
      <c r="C81" s="228"/>
      <c r="D81" s="229"/>
      <c r="E81" s="229"/>
      <c r="F81" s="229"/>
      <c r="G81" s="230"/>
      <c r="H81" s="128"/>
      <c r="J81" s="167"/>
      <c r="K81" s="167"/>
      <c r="L81" s="167"/>
      <c r="M81" s="167"/>
    </row>
    <row r="82" spans="2:13">
      <c r="B82" s="223"/>
      <c r="C82" s="46"/>
      <c r="D82" s="123"/>
      <c r="E82" s="123"/>
      <c r="F82" s="123"/>
      <c r="G82" s="151"/>
      <c r="H82" s="122"/>
      <c r="J82" s="167"/>
      <c r="K82" s="167"/>
      <c r="L82" s="167"/>
      <c r="M82" s="167"/>
    </row>
    <row r="83" spans="2:13">
      <c r="B83" s="73"/>
      <c r="C83" s="226" t="s">
        <v>70</v>
      </c>
      <c r="D83" s="113">
        <f>SUM(D10:D82)</f>
        <v>19014029.52</v>
      </c>
      <c r="E83" s="113">
        <f>SUM(E10:E82)</f>
        <v>18592735.32</v>
      </c>
      <c r="F83" s="113">
        <f>SUM(F10:F82)</f>
        <v>16081202.020000001</v>
      </c>
      <c r="G83" s="224">
        <f>SUM(G10:G82)</f>
        <v>20028491.680000003</v>
      </c>
      <c r="H83" s="123">
        <f>SUM(H10:H82)</f>
        <v>73716458.540000021</v>
      </c>
      <c r="J83" s="167"/>
      <c r="K83" s="167"/>
      <c r="L83" s="167"/>
      <c r="M83" s="167"/>
    </row>
    <row r="84" spans="2:13">
      <c r="B84" s="231"/>
      <c r="C84" s="184"/>
      <c r="D84" s="184"/>
      <c r="E84" s="184"/>
      <c r="F84" s="184"/>
      <c r="G84" s="184"/>
      <c r="H84" s="148">
        <f>D83+E83+F83+G83</f>
        <v>73716458.540000007</v>
      </c>
    </row>
    <row r="85" spans="2:13">
      <c r="B85" s="224" t="s">
        <v>161</v>
      </c>
      <c r="C85" s="179"/>
      <c r="D85" s="179"/>
      <c r="E85" s="179"/>
      <c r="F85" s="179"/>
      <c r="G85" s="179"/>
      <c r="H85" s="146"/>
    </row>
    <row r="86" spans="2:13">
      <c r="B86" s="224" t="s">
        <v>162</v>
      </c>
      <c r="C86" s="179"/>
      <c r="D86" s="179"/>
      <c r="E86" s="179"/>
      <c r="F86" s="179"/>
      <c r="G86" s="179"/>
      <c r="H86" s="146"/>
    </row>
    <row r="87" spans="2:13">
      <c r="B87" s="224" t="s">
        <v>163</v>
      </c>
      <c r="C87" s="179"/>
      <c r="D87" s="179"/>
      <c r="E87" s="179"/>
      <c r="F87" s="179"/>
      <c r="G87" s="179"/>
      <c r="H87" s="146"/>
    </row>
    <row r="88" spans="2:13">
      <c r="B88" s="152" t="s">
        <v>175</v>
      </c>
      <c r="C88" s="42"/>
      <c r="D88" s="42"/>
      <c r="E88" s="42"/>
      <c r="F88" s="42"/>
      <c r="G88" s="42"/>
      <c r="H88" s="147"/>
    </row>
    <row r="89" spans="2:13">
      <c r="B89" s="179"/>
      <c r="C89" s="179"/>
      <c r="D89" s="179"/>
      <c r="E89" s="179"/>
      <c r="F89" s="179"/>
      <c r="G89" s="179"/>
      <c r="H89" s="179"/>
    </row>
    <row r="90" spans="2:13">
      <c r="C90" s="179"/>
      <c r="D90" s="179"/>
      <c r="E90" s="179"/>
      <c r="F90" s="179"/>
      <c r="G90" s="179"/>
      <c r="H90" s="179"/>
    </row>
  </sheetData>
  <mergeCells count="6">
    <mergeCell ref="I10:L10"/>
    <mergeCell ref="B3:H3"/>
    <mergeCell ref="B4:H4"/>
    <mergeCell ref="B5:H5"/>
    <mergeCell ref="B7:B9"/>
    <mergeCell ref="C7:C9"/>
  </mergeCells>
  <pageMargins left="0.5" right="0.5" top="0.75" bottom="0.75" header="0.25" footer="0.25"/>
  <pageSetup scale="65" orientation="landscape" r:id="rId1"/>
  <headerFooter>
    <oddFooter xml:space="preserve">&amp;L&amp;"SWISS,Bold"&amp;10Report Date:  </oddFooter>
  </headerFooter>
  <ignoredErrors>
    <ignoredError sqref="H18 H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179"/>
  <sheetViews>
    <sheetView zoomScaleNormal="100" workbookViewId="0">
      <pane ySplit="7" topLeftCell="A41" activePane="bottomLeft" state="frozen"/>
      <selection pane="bottomLeft" activeCell="B42" sqref="B42"/>
    </sheetView>
  </sheetViews>
  <sheetFormatPr defaultColWidth="8.81640625" defaultRowHeight="13.8"/>
  <cols>
    <col min="1" max="1" width="6.453125" style="55" customWidth="1"/>
    <col min="2" max="2" width="29.08984375" style="55" customWidth="1"/>
    <col min="3" max="3" width="11.6328125" style="55" customWidth="1"/>
    <col min="4" max="4" width="13.54296875" style="55" customWidth="1"/>
    <col min="5" max="5" width="13.1796875" style="55" customWidth="1"/>
    <col min="6" max="6" width="12.81640625" style="55" customWidth="1"/>
    <col min="7" max="7" width="14.81640625" style="55" customWidth="1"/>
    <col min="8" max="8" width="8.81640625" style="55"/>
    <col min="9" max="10" width="9.6328125" style="55" bestFit="1" customWidth="1"/>
    <col min="11" max="16384" width="8.81640625" style="55"/>
  </cols>
  <sheetData>
    <row r="1" spans="1:12" s="47" customFormat="1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46146.497156365738</v>
      </c>
    </row>
    <row r="2" spans="1:12" s="47" customFormat="1">
      <c r="A2" s="48" t="s">
        <v>0</v>
      </c>
      <c r="C2" s="47" t="s">
        <v>107</v>
      </c>
      <c r="G2" s="49"/>
    </row>
    <row r="3" spans="1:12" s="47" customFormat="1">
      <c r="A3" s="48" t="s">
        <v>0</v>
      </c>
      <c r="C3" s="47" t="s">
        <v>110</v>
      </c>
      <c r="G3" s="49"/>
    </row>
    <row r="4" spans="1:12" s="47" customFormat="1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12" s="47" customFormat="1">
      <c r="A5" s="48"/>
      <c r="B5" s="73"/>
      <c r="C5" s="74" t="s">
        <v>3</v>
      </c>
      <c r="D5" s="74" t="s">
        <v>4</v>
      </c>
      <c r="E5" s="74" t="s">
        <v>5</v>
      </c>
      <c r="F5" s="74" t="s">
        <v>6</v>
      </c>
      <c r="G5" s="75"/>
    </row>
    <row r="6" spans="1:12" s="47" customFormat="1">
      <c r="A6" s="48"/>
      <c r="B6" s="73"/>
      <c r="C6" s="74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12" s="47" customFormat="1">
      <c r="A7" s="67"/>
      <c r="B7" s="77" t="s">
        <v>10</v>
      </c>
      <c r="C7" s="78" t="s">
        <v>11</v>
      </c>
      <c r="D7" s="78" t="s">
        <v>12</v>
      </c>
      <c r="E7" s="79" t="s">
        <v>13</v>
      </c>
      <c r="F7" s="78" t="s">
        <v>14</v>
      </c>
      <c r="G7" s="80" t="s">
        <v>15</v>
      </c>
    </row>
    <row r="8" spans="1:12" s="47" customFormat="1">
      <c r="A8" s="81" t="s">
        <v>16</v>
      </c>
      <c r="B8" s="82" t="s">
        <v>17</v>
      </c>
      <c r="C8" s="83">
        <v>127395</v>
      </c>
      <c r="D8" s="83">
        <f>243028.85-C8</f>
        <v>115633.85</v>
      </c>
      <c r="E8" s="83">
        <f>348028.85-D8-C8</f>
        <v>104999.99999999997</v>
      </c>
      <c r="F8" s="83">
        <f>470836-E8-D8-C8</f>
        <v>122807.15</v>
      </c>
      <c r="G8" s="85">
        <f>(C8+D8+E8+F8)</f>
        <v>470836</v>
      </c>
    </row>
    <row r="9" spans="1:12" s="127" customFormat="1">
      <c r="A9" s="126">
        <v>0.05</v>
      </c>
      <c r="B9" s="88" t="s">
        <v>77</v>
      </c>
      <c r="C9" s="108">
        <v>2933583</v>
      </c>
      <c r="D9" s="108">
        <f>5727295-C9</f>
        <v>2793712</v>
      </c>
      <c r="E9" s="108">
        <f>7667308-D9-C9</f>
        <v>1940013</v>
      </c>
      <c r="F9" s="108">
        <f>9206720-E9-D9-C9</f>
        <v>1539412</v>
      </c>
      <c r="G9" s="136">
        <f>(C9+D9+E9+F9)</f>
        <v>9206720</v>
      </c>
    </row>
    <row r="10" spans="1:12" s="127" customFormat="1">
      <c r="A10" s="126">
        <v>0.01</v>
      </c>
      <c r="B10" s="88" t="s">
        <v>80</v>
      </c>
      <c r="C10" s="108">
        <v>586717</v>
      </c>
      <c r="D10" s="108">
        <f>1145459-C10</f>
        <v>558742</v>
      </c>
      <c r="E10" s="108">
        <f>1533462-D10-C10</f>
        <v>388003</v>
      </c>
      <c r="F10" s="108">
        <f>1842179-E10-D110-C10</f>
        <v>867459</v>
      </c>
      <c r="G10" s="136">
        <f>(C10+D10+E10+F10)</f>
        <v>2400921</v>
      </c>
    </row>
    <row r="11" spans="1:12" s="47" customFormat="1">
      <c r="A11" s="81" t="s">
        <v>16</v>
      </c>
      <c r="B11" s="84" t="s">
        <v>18</v>
      </c>
      <c r="C11" s="83">
        <v>31264</v>
      </c>
      <c r="D11" s="83">
        <f>78931-C11</f>
        <v>47667</v>
      </c>
      <c r="E11" s="137">
        <v>0</v>
      </c>
      <c r="F11" s="108">
        <f>261111</f>
        <v>261111</v>
      </c>
      <c r="G11" s="89">
        <f>(C11+D11+E11+F11)</f>
        <v>340042</v>
      </c>
      <c r="H11" s="47" t="s">
        <v>0</v>
      </c>
      <c r="J11" s="47" t="s">
        <v>0</v>
      </c>
      <c r="L11" s="47" t="s">
        <v>0</v>
      </c>
    </row>
    <row r="12" spans="1:12" s="47" customFormat="1">
      <c r="A12" s="81" t="s">
        <v>16</v>
      </c>
      <c r="B12" s="84" t="s">
        <v>19</v>
      </c>
      <c r="C12" s="108">
        <v>67460</v>
      </c>
      <c r="D12" s="108">
        <f>142659-C12</f>
        <v>75199</v>
      </c>
      <c r="E12" s="83">
        <f>210403-D12-C12</f>
        <v>67744</v>
      </c>
      <c r="F12" s="83">
        <f>281865-E12-D12-C12</f>
        <v>71462</v>
      </c>
      <c r="G12" s="85">
        <f>(C12+D12+E12+F12)</f>
        <v>281865</v>
      </c>
    </row>
    <row r="13" spans="1:12" s="47" customFormat="1">
      <c r="A13" s="81" t="s">
        <v>16</v>
      </c>
      <c r="B13" s="84" t="s">
        <v>20</v>
      </c>
      <c r="C13" s="108">
        <v>2366.7199999999998</v>
      </c>
      <c r="D13" s="83">
        <f>5191.17-C13</f>
        <v>2824.4500000000003</v>
      </c>
      <c r="E13" s="83">
        <f>6991.41-D13-C13</f>
        <v>1800.2399999999993</v>
      </c>
      <c r="F13" s="83">
        <f>10497-E13-D13-C13</f>
        <v>3505.5899999999997</v>
      </c>
      <c r="G13" s="85">
        <f>SUM(C13:F13)</f>
        <v>10497</v>
      </c>
    </row>
    <row r="14" spans="1:12" s="47" customFormat="1">
      <c r="A14" s="86">
        <v>0.04</v>
      </c>
      <c r="B14" s="84" t="s">
        <v>21</v>
      </c>
      <c r="C14" s="83">
        <v>12430.31</v>
      </c>
      <c r="D14" s="83">
        <f>20708-C14</f>
        <v>8277.69</v>
      </c>
      <c r="E14" s="83">
        <f>27193-D14-C14</f>
        <v>6484.9999999999982</v>
      </c>
      <c r="F14" s="83">
        <f>42927-E14-D14-C14</f>
        <v>15733.999999999998</v>
      </c>
      <c r="G14" s="85">
        <f>(C14+D14+E14+F14)</f>
        <v>42927</v>
      </c>
    </row>
    <row r="15" spans="1:12" s="47" customFormat="1">
      <c r="A15" s="81" t="s">
        <v>22</v>
      </c>
      <c r="B15" s="84" t="s">
        <v>23</v>
      </c>
      <c r="C15" s="83">
        <v>32371</v>
      </c>
      <c r="D15" s="83">
        <v>28408</v>
      </c>
      <c r="E15" s="108">
        <v>16733</v>
      </c>
      <c r="F15" s="83">
        <v>24399</v>
      </c>
      <c r="G15" s="85">
        <f>(C15+D15+E15+F15)</f>
        <v>101911</v>
      </c>
    </row>
    <row r="16" spans="1:12" s="47" customFormat="1">
      <c r="A16" s="86">
        <v>0.03</v>
      </c>
      <c r="B16" s="84" t="s">
        <v>74</v>
      </c>
      <c r="C16" s="83">
        <v>16132</v>
      </c>
      <c r="D16" s="108">
        <f>31521-C16</f>
        <v>15389</v>
      </c>
      <c r="E16" s="83">
        <f>39977-D16-C16</f>
        <v>8456</v>
      </c>
      <c r="F16" s="108">
        <f>52732-E16-D16-C16</f>
        <v>12755</v>
      </c>
      <c r="G16" s="85">
        <f>C16+D16+E16+F16</f>
        <v>52732</v>
      </c>
    </row>
    <row r="17" spans="1:8" s="47" customFormat="1">
      <c r="A17" s="86">
        <v>0.03</v>
      </c>
      <c r="B17" s="84" t="s">
        <v>75</v>
      </c>
      <c r="C17" s="108">
        <v>2074.3000000000002</v>
      </c>
      <c r="D17" s="83">
        <f>5329.72-C17</f>
        <v>3255.42</v>
      </c>
      <c r="E17" s="83">
        <f>8592.61-D17-C17</f>
        <v>3262.8900000000003</v>
      </c>
      <c r="F17" s="83">
        <v>5035.3599999999997</v>
      </c>
      <c r="G17" s="85">
        <f>(C17+D17+E17+F17)</f>
        <v>13627.970000000001</v>
      </c>
    </row>
    <row r="18" spans="1:8" s="47" customFormat="1">
      <c r="A18" s="86">
        <v>0.05</v>
      </c>
      <c r="B18" s="84" t="s">
        <v>24</v>
      </c>
      <c r="C18" s="83">
        <v>230586</v>
      </c>
      <c r="D18" s="83">
        <f>415820-C18</f>
        <v>185234</v>
      </c>
      <c r="E18" s="108">
        <f>598647-D18-C18</f>
        <v>182827</v>
      </c>
      <c r="F18" s="108">
        <f>849821-E18-D18-C18</f>
        <v>251174</v>
      </c>
      <c r="G18" s="85">
        <f>C18+D18+E18+F18</f>
        <v>849821</v>
      </c>
    </row>
    <row r="19" spans="1:8" s="47" customFormat="1">
      <c r="A19" s="81" t="s">
        <v>22</v>
      </c>
      <c r="B19" s="84" t="s">
        <v>25</v>
      </c>
      <c r="C19" s="108">
        <v>1851</v>
      </c>
      <c r="D19" s="83">
        <f>3333-C19</f>
        <v>1482</v>
      </c>
      <c r="E19" s="108">
        <f>4752-D19-C19</f>
        <v>1419</v>
      </c>
      <c r="F19" s="108">
        <f>6183-E19-D19-C19</f>
        <v>1431</v>
      </c>
      <c r="G19" s="85">
        <f t="shared" ref="G19:G30" si="0">(C19+D19+E19+F19)</f>
        <v>6183</v>
      </c>
      <c r="H19" s="47" t="s">
        <v>0</v>
      </c>
    </row>
    <row r="20" spans="1:8" s="47" customFormat="1">
      <c r="A20" s="86">
        <v>0.04</v>
      </c>
      <c r="B20" s="84" t="s">
        <v>26</v>
      </c>
      <c r="C20" s="83">
        <v>35720</v>
      </c>
      <c r="D20" s="83">
        <f>57370-C20</f>
        <v>21650</v>
      </c>
      <c r="E20" s="108">
        <f>67464-D20-C20</f>
        <v>10094</v>
      </c>
      <c r="F20" s="83">
        <f>70707-E20-D20-C20</f>
        <v>3243</v>
      </c>
      <c r="G20" s="85">
        <f t="shared" si="0"/>
        <v>70707</v>
      </c>
    </row>
    <row r="21" spans="1:8" s="47" customFormat="1">
      <c r="A21" s="81" t="s">
        <v>27</v>
      </c>
      <c r="B21" s="84" t="s">
        <v>28</v>
      </c>
      <c r="C21" s="83">
        <v>9456</v>
      </c>
      <c r="D21" s="83">
        <f>13551-C21</f>
        <v>4095</v>
      </c>
      <c r="E21" s="83">
        <f>15189-D21-C21</f>
        <v>1638</v>
      </c>
      <c r="F21" s="83">
        <f>18801-E21-D21-C21</f>
        <v>3612</v>
      </c>
      <c r="G21" s="85">
        <f t="shared" si="0"/>
        <v>18801</v>
      </c>
    </row>
    <row r="22" spans="1:8" s="47" customFormat="1">
      <c r="A22" s="86">
        <v>0.05</v>
      </c>
      <c r="B22" s="84" t="s">
        <v>29</v>
      </c>
      <c r="C22" s="83">
        <v>50676.41</v>
      </c>
      <c r="D22" s="83">
        <f>78961.71-C22</f>
        <v>28285.300000000003</v>
      </c>
      <c r="E22" s="83">
        <f>95289.04-D22-C22</f>
        <v>16327.329999999987</v>
      </c>
      <c r="F22" s="83">
        <f>117271.98-E22-D22-C22</f>
        <v>21982.940000000002</v>
      </c>
      <c r="G22" s="85">
        <f t="shared" si="0"/>
        <v>117271.98</v>
      </c>
    </row>
    <row r="23" spans="1:8" s="47" customFormat="1">
      <c r="A23" s="86">
        <v>0.05</v>
      </c>
      <c r="B23" s="84" t="s">
        <v>76</v>
      </c>
      <c r="C23" s="83">
        <v>46083</v>
      </c>
      <c r="D23" s="83">
        <f>79353-C23</f>
        <v>33270</v>
      </c>
      <c r="E23" s="83">
        <f>98701-D23-C23</f>
        <v>19348</v>
      </c>
      <c r="F23" s="83">
        <f>124094-E23-D23-C23</f>
        <v>25393</v>
      </c>
      <c r="G23" s="85">
        <f t="shared" si="0"/>
        <v>124094</v>
      </c>
    </row>
    <row r="24" spans="1:8" s="47" customFormat="1">
      <c r="A24" s="86">
        <v>0.05</v>
      </c>
      <c r="B24" s="84" t="s">
        <v>30</v>
      </c>
      <c r="C24" s="83">
        <v>149775.53</v>
      </c>
      <c r="D24" s="83">
        <v>140344.34</v>
      </c>
      <c r="E24" s="83">
        <v>106598.06</v>
      </c>
      <c r="F24" s="83">
        <f>537616.34-E24-D24-C24</f>
        <v>140898.40999999995</v>
      </c>
      <c r="G24" s="85">
        <f t="shared" si="0"/>
        <v>537616.34</v>
      </c>
    </row>
    <row r="25" spans="1:8" s="47" customFormat="1">
      <c r="A25" s="86">
        <v>0.05</v>
      </c>
      <c r="B25" s="84" t="s">
        <v>31</v>
      </c>
      <c r="C25" s="83">
        <v>680</v>
      </c>
      <c r="D25" s="108">
        <f>1702-C25</f>
        <v>1022</v>
      </c>
      <c r="E25" s="108">
        <f>2555-D25-C25</f>
        <v>853</v>
      </c>
      <c r="F25" s="108">
        <f>3385-E25-D25-C25</f>
        <v>830</v>
      </c>
      <c r="G25" s="85">
        <f t="shared" si="0"/>
        <v>3385</v>
      </c>
      <c r="H25" s="47" t="s">
        <v>0</v>
      </c>
    </row>
    <row r="26" spans="1:8" s="47" customFormat="1">
      <c r="A26" s="90">
        <v>3.5000000000000003E-2</v>
      </c>
      <c r="B26" s="84" t="s">
        <v>73</v>
      </c>
      <c r="C26" s="83">
        <v>1828</v>
      </c>
      <c r="D26" s="108">
        <f>3248-C26</f>
        <v>1420</v>
      </c>
      <c r="E26" s="108">
        <f>4288-D26-C26</f>
        <v>1040</v>
      </c>
      <c r="F26" s="108">
        <f>5889-E26-D26-C26</f>
        <v>1601</v>
      </c>
      <c r="G26" s="85">
        <f t="shared" si="0"/>
        <v>5889</v>
      </c>
    </row>
    <row r="27" spans="1:8" s="47" customFormat="1">
      <c r="A27" s="81" t="s">
        <v>22</v>
      </c>
      <c r="B27" s="84" t="s">
        <v>32</v>
      </c>
      <c r="C27" s="108">
        <v>4265</v>
      </c>
      <c r="D27" s="83">
        <f>7642-C27</f>
        <v>3377</v>
      </c>
      <c r="E27" s="108">
        <v>5359</v>
      </c>
      <c r="F27" s="108">
        <v>5889</v>
      </c>
      <c r="G27" s="85">
        <f t="shared" si="0"/>
        <v>18890</v>
      </c>
      <c r="H27" s="47" t="s">
        <v>0</v>
      </c>
    </row>
    <row r="28" spans="1:8" s="47" customFormat="1">
      <c r="A28" s="91" t="s">
        <v>16</v>
      </c>
      <c r="B28" s="92" t="s">
        <v>79</v>
      </c>
      <c r="C28" s="84">
        <v>88772</v>
      </c>
      <c r="D28" s="83">
        <f>170005-C28</f>
        <v>81233</v>
      </c>
      <c r="E28" s="108">
        <f>273286-D28-C28</f>
        <v>103281</v>
      </c>
      <c r="F28" s="83">
        <f>379071-E28-D28-C28</f>
        <v>105785</v>
      </c>
      <c r="G28" s="85">
        <f t="shared" si="0"/>
        <v>379071</v>
      </c>
    </row>
    <row r="29" spans="1:8" s="47" customFormat="1">
      <c r="A29" s="81" t="s">
        <v>22</v>
      </c>
      <c r="B29" s="84" t="s">
        <v>33</v>
      </c>
      <c r="C29" s="83">
        <v>18337</v>
      </c>
      <c r="D29" s="83">
        <f>25256-C29</f>
        <v>6919</v>
      </c>
      <c r="E29" s="83">
        <f>30768-D29-C29</f>
        <v>5512</v>
      </c>
      <c r="F29" s="83">
        <f>36033-E29-D29-C29</f>
        <v>5265</v>
      </c>
      <c r="G29" s="85">
        <f t="shared" si="0"/>
        <v>36033</v>
      </c>
    </row>
    <row r="30" spans="1:8" s="47" customFormat="1">
      <c r="A30" s="86">
        <v>0.05</v>
      </c>
      <c r="B30" s="84" t="s">
        <v>71</v>
      </c>
      <c r="C30" s="83">
        <v>11434.06</v>
      </c>
      <c r="D30" s="83">
        <v>9016.8700000000008</v>
      </c>
      <c r="E30" s="108">
        <v>4464.25</v>
      </c>
      <c r="F30" s="83">
        <f>33406-E30-D30-C30</f>
        <v>8490.8199999999979</v>
      </c>
      <c r="G30" s="85">
        <f t="shared" si="0"/>
        <v>33406</v>
      </c>
    </row>
    <row r="31" spans="1:8" s="47" customFormat="1">
      <c r="A31" s="86">
        <v>0.05</v>
      </c>
      <c r="B31" s="84" t="s">
        <v>34</v>
      </c>
      <c r="C31" s="83">
        <v>42002</v>
      </c>
      <c r="D31" s="108">
        <f>58098-C31</f>
        <v>16096</v>
      </c>
      <c r="E31" s="108">
        <f>67697-D31-C31</f>
        <v>9599</v>
      </c>
      <c r="F31" s="83" t="s">
        <v>139</v>
      </c>
      <c r="G31" s="85">
        <f>(C31+D31+E31)</f>
        <v>67697</v>
      </c>
    </row>
    <row r="32" spans="1:8" s="47" customFormat="1" ht="15.6">
      <c r="A32" s="81" t="s">
        <v>16</v>
      </c>
      <c r="B32" s="84" t="s">
        <v>35</v>
      </c>
      <c r="C32" s="107">
        <v>307329</v>
      </c>
      <c r="D32" s="83">
        <f>568951-C32</f>
        <v>261622</v>
      </c>
      <c r="E32" s="83">
        <f>776795-D32-C32</f>
        <v>207844</v>
      </c>
      <c r="F32" s="83">
        <f>1068354-E32-D32-C32</f>
        <v>291559</v>
      </c>
      <c r="G32" s="85">
        <f t="shared" ref="G32:G59" si="1">(C32+D32+E32+F32)</f>
        <v>1068354</v>
      </c>
    </row>
    <row r="33" spans="1:7" s="47" customFormat="1">
      <c r="A33" s="81" t="s">
        <v>16</v>
      </c>
      <c r="B33" s="84" t="s">
        <v>36</v>
      </c>
      <c r="C33" s="83">
        <v>7649</v>
      </c>
      <c r="D33" s="83">
        <f>13070-C33</f>
        <v>5421</v>
      </c>
      <c r="E33" s="83">
        <f>16550-D33-C33</f>
        <v>3480</v>
      </c>
      <c r="F33" s="83">
        <f>21194-E33-C33-C33</f>
        <v>2416</v>
      </c>
      <c r="G33" s="85">
        <f t="shared" si="1"/>
        <v>18966</v>
      </c>
    </row>
    <row r="34" spans="1:7" s="47" customFormat="1">
      <c r="A34" s="81" t="s">
        <v>16</v>
      </c>
      <c r="B34" s="84" t="s">
        <v>37</v>
      </c>
      <c r="C34" s="83">
        <v>335292</v>
      </c>
      <c r="D34" s="108">
        <f>603958-C34</f>
        <v>268666</v>
      </c>
      <c r="E34" s="108">
        <f>888093-D34-C34</f>
        <v>284135</v>
      </c>
      <c r="F34" s="83">
        <f>1177868-E34-D34-C34</f>
        <v>289775</v>
      </c>
      <c r="G34" s="85">
        <f t="shared" si="1"/>
        <v>1177868</v>
      </c>
    </row>
    <row r="35" spans="1:7" s="47" customFormat="1">
      <c r="A35" s="81" t="s">
        <v>16</v>
      </c>
      <c r="B35" s="84" t="s">
        <v>38</v>
      </c>
      <c r="C35" s="83">
        <v>136477</v>
      </c>
      <c r="D35" s="83">
        <f>249360-C35</f>
        <v>112883</v>
      </c>
      <c r="E35" s="83">
        <f>333174-D35-C35</f>
        <v>83814</v>
      </c>
      <c r="F35" s="83">
        <f>428852-E35-D35-C35</f>
        <v>95678</v>
      </c>
      <c r="G35" s="85">
        <f t="shared" si="1"/>
        <v>428852</v>
      </c>
    </row>
    <row r="36" spans="1:7" s="47" customFormat="1">
      <c r="A36" s="81" t="s">
        <v>22</v>
      </c>
      <c r="B36" s="84" t="s">
        <v>39</v>
      </c>
      <c r="C36" s="83">
        <v>21</v>
      </c>
      <c r="D36" s="83">
        <f>42.3-C36</f>
        <v>21.299999999999997</v>
      </c>
      <c r="E36" s="83">
        <f>55.95-D36-C36</f>
        <v>13.650000000000006</v>
      </c>
      <c r="F36" s="108">
        <v>4.5</v>
      </c>
      <c r="G36" s="85">
        <f t="shared" si="1"/>
        <v>60.45</v>
      </c>
    </row>
    <row r="37" spans="1:7" s="47" customFormat="1">
      <c r="A37" s="86">
        <v>0.05</v>
      </c>
      <c r="B37" s="84" t="s">
        <v>40</v>
      </c>
      <c r="C37" s="83">
        <v>190644</v>
      </c>
      <c r="D37" s="83">
        <f>340494-C37</f>
        <v>149850</v>
      </c>
      <c r="E37" s="108">
        <f>572678-D37-C37</f>
        <v>232184</v>
      </c>
      <c r="F37" s="83">
        <f>795559-E37-D37-C37</f>
        <v>222881</v>
      </c>
      <c r="G37" s="85">
        <f t="shared" si="1"/>
        <v>795559</v>
      </c>
    </row>
    <row r="38" spans="1:7" s="47" customFormat="1">
      <c r="A38" s="86">
        <v>0.03</v>
      </c>
      <c r="B38" s="84" t="s">
        <v>41</v>
      </c>
      <c r="C38" s="108">
        <v>649.94000000000005</v>
      </c>
      <c r="D38" s="83">
        <f>2306-C38</f>
        <v>1656.06</v>
      </c>
      <c r="E38" s="108">
        <f>4240-D38-C38</f>
        <v>1934</v>
      </c>
      <c r="F38" s="83">
        <v>3474</v>
      </c>
      <c r="G38" s="85">
        <f t="shared" si="1"/>
        <v>7714</v>
      </c>
    </row>
    <row r="39" spans="1:7" s="47" customFormat="1">
      <c r="A39" s="81" t="s">
        <v>16</v>
      </c>
      <c r="B39" s="84" t="s">
        <v>42</v>
      </c>
      <c r="C39" s="83">
        <v>4248</v>
      </c>
      <c r="D39" s="83">
        <f>9249-C39</f>
        <v>5001</v>
      </c>
      <c r="E39" s="83">
        <f>10724-D39-C39</f>
        <v>1475</v>
      </c>
      <c r="F39" s="83">
        <f>14441-E39-D39-C39</f>
        <v>3717</v>
      </c>
      <c r="G39" s="85">
        <f t="shared" si="1"/>
        <v>14441</v>
      </c>
    </row>
    <row r="40" spans="1:7" s="47" customFormat="1">
      <c r="A40" s="81" t="s">
        <v>16</v>
      </c>
      <c r="B40" s="84" t="s">
        <v>43</v>
      </c>
      <c r="C40" s="108">
        <v>429049</v>
      </c>
      <c r="D40" s="108">
        <f>907324-C40</f>
        <v>478275</v>
      </c>
      <c r="E40" s="83">
        <f>1324932-D40-C40</f>
        <v>417608</v>
      </c>
      <c r="F40" s="108">
        <f>1823429-E40-D40-C40</f>
        <v>498497</v>
      </c>
      <c r="G40" s="85">
        <f t="shared" si="1"/>
        <v>1823429</v>
      </c>
    </row>
    <row r="41" spans="1:7" s="47" customFormat="1">
      <c r="A41" s="143">
        <v>2.5</v>
      </c>
      <c r="B41" s="84" t="s">
        <v>142</v>
      </c>
      <c r="C41" s="108">
        <v>290734</v>
      </c>
      <c r="D41" s="108">
        <f>696750-C41</f>
        <v>406016</v>
      </c>
      <c r="E41" s="83">
        <f>896017-D41-C41</f>
        <v>199267</v>
      </c>
      <c r="F41" s="108">
        <f>1234327-E41-D41-C41</f>
        <v>338310</v>
      </c>
      <c r="G41" s="85">
        <f t="shared" si="1"/>
        <v>1234327</v>
      </c>
    </row>
    <row r="42" spans="1:7" s="47" customFormat="1">
      <c r="A42" s="81" t="s">
        <v>27</v>
      </c>
      <c r="B42" s="84" t="s">
        <v>44</v>
      </c>
      <c r="C42" s="83">
        <v>86635</v>
      </c>
      <c r="D42" s="83">
        <f>139980-C42</f>
        <v>53345</v>
      </c>
      <c r="E42" s="108">
        <f>180028-D42-C42</f>
        <v>40048</v>
      </c>
      <c r="F42" s="83">
        <f>254231-E42-D42-C42</f>
        <v>74203</v>
      </c>
      <c r="G42" s="85">
        <f t="shared" si="1"/>
        <v>254231</v>
      </c>
    </row>
    <row r="43" spans="1:7" s="47" customFormat="1">
      <c r="A43" s="81" t="s">
        <v>22</v>
      </c>
      <c r="B43" s="84" t="s">
        <v>45</v>
      </c>
      <c r="C43" s="83">
        <v>3552</v>
      </c>
      <c r="D43" s="83">
        <f>5528-C43</f>
        <v>1976</v>
      </c>
      <c r="E43" s="83">
        <f>6817-D43-C43</f>
        <v>1289</v>
      </c>
      <c r="F43" s="83">
        <f>8770-E43-D43-C43</f>
        <v>1953</v>
      </c>
      <c r="G43" s="85">
        <f t="shared" si="1"/>
        <v>8770</v>
      </c>
    </row>
    <row r="44" spans="1:7" s="47" customFormat="1">
      <c r="A44" s="81" t="s">
        <v>16</v>
      </c>
      <c r="B44" s="84" t="s">
        <v>46</v>
      </c>
      <c r="C44" s="108">
        <v>54272.61</v>
      </c>
      <c r="D44" s="108">
        <f>98729.47-C44</f>
        <v>44456.86</v>
      </c>
      <c r="E44" s="108">
        <f>153693.07-D44-C44</f>
        <v>54963.600000000006</v>
      </c>
      <c r="F44" s="108">
        <f>205733.64-E44-D44-C44</f>
        <v>52040.570000000007</v>
      </c>
      <c r="G44" s="85">
        <f t="shared" si="1"/>
        <v>205733.64</v>
      </c>
    </row>
    <row r="45" spans="1:7" s="47" customFormat="1">
      <c r="A45" s="81" t="s">
        <v>27</v>
      </c>
      <c r="B45" s="84" t="s">
        <v>48</v>
      </c>
      <c r="C45" s="108">
        <v>16489.87</v>
      </c>
      <c r="D45" s="83">
        <f>30717.54-C45</f>
        <v>14227.670000000002</v>
      </c>
      <c r="E45" s="108">
        <f>43889.29-D45-C45</f>
        <v>13171.75</v>
      </c>
      <c r="F45" s="83">
        <f>55166.7-E45-D45-C45</f>
        <v>11277.409999999996</v>
      </c>
      <c r="G45" s="85">
        <f t="shared" si="1"/>
        <v>55166.7</v>
      </c>
    </row>
    <row r="46" spans="1:7" s="47" customFormat="1">
      <c r="A46" s="91" t="s">
        <v>16</v>
      </c>
      <c r="B46" s="84" t="s">
        <v>49</v>
      </c>
      <c r="C46" s="83">
        <v>14783.97</v>
      </c>
      <c r="D46" s="83">
        <f>30572-C46</f>
        <v>15788.03</v>
      </c>
      <c r="E46" s="83">
        <f>42853.4-D46-C46</f>
        <v>12281.400000000003</v>
      </c>
      <c r="F46" s="83">
        <f>57256.83-E46-D46-C46</f>
        <v>14403.430000000002</v>
      </c>
      <c r="G46" s="85">
        <f t="shared" si="1"/>
        <v>57256.83</v>
      </c>
    </row>
    <row r="47" spans="1:7" s="47" customFormat="1">
      <c r="A47" s="86">
        <v>0.04</v>
      </c>
      <c r="B47" s="84" t="s">
        <v>50</v>
      </c>
      <c r="C47" s="108">
        <v>1468.03</v>
      </c>
      <c r="D47" s="83">
        <f>2549.45-C47</f>
        <v>1081.4199999999998</v>
      </c>
      <c r="E47" s="83">
        <f>3388.4-D47-C47</f>
        <v>838.9500000000005</v>
      </c>
      <c r="F47" s="83">
        <f>4282.33-E47-D47-C47</f>
        <v>893.92999999999915</v>
      </c>
      <c r="G47" s="85">
        <f t="shared" si="1"/>
        <v>4282.33</v>
      </c>
    </row>
    <row r="48" spans="1:7" s="47" customFormat="1">
      <c r="A48" s="81" t="s">
        <v>16</v>
      </c>
      <c r="B48" s="84" t="s">
        <v>112</v>
      </c>
      <c r="C48" s="108">
        <v>366.93</v>
      </c>
      <c r="D48" s="108">
        <f>367-C48</f>
        <v>6.9999999999993179E-2</v>
      </c>
      <c r="E48" s="83">
        <f>687.28-D48-C48</f>
        <v>320.28000000000003</v>
      </c>
      <c r="F48" s="108">
        <f>1844.18-E48-D48-C48</f>
        <v>1156.9000000000001</v>
      </c>
      <c r="G48" s="85">
        <f t="shared" si="1"/>
        <v>1844.18</v>
      </c>
    </row>
    <row r="49" spans="1:8" s="47" customFormat="1">
      <c r="A49" s="81" t="s">
        <v>22</v>
      </c>
      <c r="B49" s="84" t="s">
        <v>51</v>
      </c>
      <c r="C49" s="83">
        <v>1237</v>
      </c>
      <c r="D49" s="83">
        <f>2309-C49</f>
        <v>1072</v>
      </c>
      <c r="E49" s="83">
        <f>2972-D49-C49</f>
        <v>663</v>
      </c>
      <c r="F49" s="83">
        <f>3826-E49-D49-C49</f>
        <v>854</v>
      </c>
      <c r="G49" s="85">
        <f t="shared" si="1"/>
        <v>3826</v>
      </c>
    </row>
    <row r="50" spans="1:8" s="47" customFormat="1">
      <c r="A50" s="81" t="s">
        <v>16</v>
      </c>
      <c r="B50" s="84" t="s">
        <v>52</v>
      </c>
      <c r="C50" s="108">
        <v>41953</v>
      </c>
      <c r="D50" s="83">
        <f>80776-C50</f>
        <v>38823</v>
      </c>
      <c r="E50" s="83">
        <f>112332-D50-C50</f>
        <v>31556</v>
      </c>
      <c r="F50" s="83">
        <f>163439-E50-D50-C50</f>
        <v>51107</v>
      </c>
      <c r="G50" s="85">
        <f t="shared" si="1"/>
        <v>163439</v>
      </c>
    </row>
    <row r="51" spans="1:8" s="47" customFormat="1">
      <c r="A51" s="81" t="s">
        <v>22</v>
      </c>
      <c r="B51" s="84" t="s">
        <v>53</v>
      </c>
      <c r="C51" s="108">
        <v>8945</v>
      </c>
      <c r="D51" s="83">
        <f>9681-C51</f>
        <v>736</v>
      </c>
      <c r="E51" s="83">
        <v>2874</v>
      </c>
      <c r="F51" s="83">
        <v>3657</v>
      </c>
      <c r="G51" s="85">
        <f t="shared" si="1"/>
        <v>16212</v>
      </c>
    </row>
    <row r="52" spans="1:8" s="47" customFormat="1">
      <c r="A52" s="81" t="s">
        <v>16</v>
      </c>
      <c r="B52" s="84" t="s">
        <v>54</v>
      </c>
      <c r="C52" s="83">
        <v>27996.73</v>
      </c>
      <c r="D52" s="83">
        <f>49667.91-C52</f>
        <v>21671.180000000004</v>
      </c>
      <c r="E52" s="83">
        <f>77959-D52-C52</f>
        <v>28291.089999999993</v>
      </c>
      <c r="F52" s="83">
        <f>104843.48-E52-D52-C52</f>
        <v>26884.479999999992</v>
      </c>
      <c r="G52" s="85">
        <f t="shared" si="1"/>
        <v>104843.48</v>
      </c>
    </row>
    <row r="53" spans="1:8" s="47" customFormat="1">
      <c r="A53" s="81" t="s">
        <v>16</v>
      </c>
      <c r="B53" s="84" t="s">
        <v>55</v>
      </c>
      <c r="C53" s="108">
        <v>141066</v>
      </c>
      <c r="D53" s="108">
        <f>224454-C53</f>
        <v>83388</v>
      </c>
      <c r="E53" s="83">
        <f>286720-D53-C53</f>
        <v>62266</v>
      </c>
      <c r="F53" s="83">
        <f>313814-E53-D53-C53</f>
        <v>27094</v>
      </c>
      <c r="G53" s="85">
        <f t="shared" si="1"/>
        <v>313814</v>
      </c>
    </row>
    <row r="54" spans="1:8" s="47" customFormat="1">
      <c r="A54" s="81" t="s">
        <v>16</v>
      </c>
      <c r="B54" s="84" t="s">
        <v>56</v>
      </c>
      <c r="C54" s="83">
        <v>206276</v>
      </c>
      <c r="D54" s="108">
        <f>281900-C54</f>
        <v>75624</v>
      </c>
      <c r="E54" s="83">
        <f>441140-D54-C54</f>
        <v>159240</v>
      </c>
      <c r="F54" s="83">
        <f>526876-E54-D54-C54</f>
        <v>85736</v>
      </c>
      <c r="G54" s="85">
        <f t="shared" si="1"/>
        <v>526876</v>
      </c>
      <c r="H54" s="51"/>
    </row>
    <row r="55" spans="1:8" s="47" customFormat="1">
      <c r="A55" s="86">
        <v>0.05</v>
      </c>
      <c r="B55" s="84" t="s">
        <v>57</v>
      </c>
      <c r="C55" s="108">
        <v>103681</v>
      </c>
      <c r="D55" s="83">
        <f>200874-C55</f>
        <v>97193</v>
      </c>
      <c r="E55" s="83">
        <f>274280-D55-C55</f>
        <v>73406</v>
      </c>
      <c r="F55" s="108">
        <f>368986-E55-D55-C55</f>
        <v>94706</v>
      </c>
      <c r="G55" s="85">
        <f t="shared" si="1"/>
        <v>368986</v>
      </c>
    </row>
    <row r="56" spans="1:8" s="47" customFormat="1">
      <c r="A56" s="81" t="s">
        <v>16</v>
      </c>
      <c r="B56" s="84" t="s">
        <v>58</v>
      </c>
      <c r="C56" s="83">
        <v>240534</v>
      </c>
      <c r="D56" s="83">
        <f>462770-C56</f>
        <v>222236</v>
      </c>
      <c r="E56" s="83">
        <f>634640-D56-C56</f>
        <v>171870</v>
      </c>
      <c r="F56" s="83">
        <f>855150-E56-D56-C56</f>
        <v>220510</v>
      </c>
      <c r="G56" s="85">
        <f t="shared" si="1"/>
        <v>855150</v>
      </c>
    </row>
    <row r="57" spans="1:8" s="47" customFormat="1">
      <c r="A57" s="93" t="s">
        <v>16</v>
      </c>
      <c r="B57" s="84" t="s">
        <v>59</v>
      </c>
      <c r="C57" s="83">
        <v>500161</v>
      </c>
      <c r="D57" s="83">
        <f>734383-C57</f>
        <v>234222</v>
      </c>
      <c r="E57" s="83">
        <f>1007889-D57-C57</f>
        <v>273506</v>
      </c>
      <c r="F57" s="83">
        <f>1212085-E57-D57-C57</f>
        <v>204196</v>
      </c>
      <c r="G57" s="85">
        <f t="shared" si="1"/>
        <v>1212085</v>
      </c>
    </row>
    <row r="58" spans="1:8" s="47" customFormat="1">
      <c r="A58" s="81" t="s">
        <v>16</v>
      </c>
      <c r="B58" s="84" t="s">
        <v>60</v>
      </c>
      <c r="C58" s="108">
        <v>63786</v>
      </c>
      <c r="D58" s="83">
        <f>103410-C58</f>
        <v>39624</v>
      </c>
      <c r="E58" s="83">
        <f>133452-D58-C58</f>
        <v>30042</v>
      </c>
      <c r="F58" s="83">
        <f>169515-E58-D58-C58</f>
        <v>36063</v>
      </c>
      <c r="G58" s="85">
        <f t="shared" si="1"/>
        <v>169515</v>
      </c>
    </row>
    <row r="59" spans="1:8" s="47" customFormat="1">
      <c r="A59" s="86">
        <v>0.05</v>
      </c>
      <c r="B59" s="94" t="s">
        <v>78</v>
      </c>
      <c r="C59" s="108">
        <v>1639884</v>
      </c>
      <c r="D59" s="108">
        <f>2810116-C59</f>
        <v>1170232</v>
      </c>
      <c r="E59" s="108">
        <f>3486446-D59-C59</f>
        <v>676330</v>
      </c>
      <c r="F59" s="83">
        <f>4403020-E59-D59-C59</f>
        <v>916574</v>
      </c>
      <c r="G59" s="85">
        <f t="shared" si="1"/>
        <v>4403020</v>
      </c>
    </row>
    <row r="60" spans="1:8" s="47" customFormat="1">
      <c r="A60" s="86">
        <v>0.02</v>
      </c>
      <c r="B60" s="94" t="s">
        <v>140</v>
      </c>
      <c r="C60" s="108">
        <v>1223896</v>
      </c>
      <c r="D60" s="108">
        <f>2070825-C60</f>
        <v>846929</v>
      </c>
      <c r="E60" s="108">
        <f>2530459-D60-C60</f>
        <v>459634</v>
      </c>
      <c r="F60" s="83">
        <f>3189765-E60-D60-C60</f>
        <v>659306</v>
      </c>
      <c r="G60" s="85">
        <f>SUM(C60:F60)</f>
        <v>3189765</v>
      </c>
    </row>
    <row r="61" spans="1:8" s="47" customFormat="1">
      <c r="A61" s="86">
        <v>0.05</v>
      </c>
      <c r="B61" s="84" t="s">
        <v>61</v>
      </c>
      <c r="C61" s="108">
        <v>142212.76</v>
      </c>
      <c r="D61" s="83">
        <f>251582-C61</f>
        <v>109369.23999999999</v>
      </c>
      <c r="E61" s="108">
        <f>343274-D61-C61</f>
        <v>91692</v>
      </c>
      <c r="F61" s="83">
        <f>460554.18-E61-D61-C61</f>
        <v>117280.18</v>
      </c>
      <c r="G61" s="85">
        <f t="shared" ref="G61:G70" si="2">(C61+D61+E61+F61)</f>
        <v>460554.18</v>
      </c>
    </row>
    <row r="62" spans="1:8" s="47" customFormat="1">
      <c r="A62" s="81" t="s">
        <v>16</v>
      </c>
      <c r="B62" s="84" t="s">
        <v>62</v>
      </c>
      <c r="C62" s="83">
        <v>66729</v>
      </c>
      <c r="D62" s="83">
        <f>122240-C62</f>
        <v>55511</v>
      </c>
      <c r="E62" s="83">
        <f>170013-D62-C62</f>
        <v>47773</v>
      </c>
      <c r="F62" s="83">
        <f>245570-E62-D62-C62</f>
        <v>75557</v>
      </c>
      <c r="G62" s="85">
        <f t="shared" si="2"/>
        <v>245570</v>
      </c>
    </row>
    <row r="63" spans="1:8" s="47" customFormat="1">
      <c r="A63" s="86">
        <v>0.05</v>
      </c>
      <c r="B63" s="84" t="s">
        <v>63</v>
      </c>
      <c r="C63" s="108">
        <v>89543</v>
      </c>
      <c r="D63" s="108">
        <f>183732-C63</f>
        <v>94189</v>
      </c>
      <c r="E63" s="108">
        <f>257073-D63-C63</f>
        <v>73341</v>
      </c>
      <c r="F63" s="83">
        <f>349532-E63-D63-C63</f>
        <v>92459</v>
      </c>
      <c r="G63" s="85">
        <f t="shared" si="2"/>
        <v>349532</v>
      </c>
    </row>
    <row r="64" spans="1:8" s="47" customFormat="1">
      <c r="A64" s="81" t="s">
        <v>22</v>
      </c>
      <c r="B64" s="84" t="s">
        <v>64</v>
      </c>
      <c r="C64" s="108">
        <v>1748</v>
      </c>
      <c r="D64" s="108">
        <f>2196-C64</f>
        <v>448</v>
      </c>
      <c r="E64" s="108">
        <v>1519</v>
      </c>
      <c r="F64" s="108">
        <v>2270</v>
      </c>
      <c r="G64" s="85">
        <f t="shared" si="2"/>
        <v>5985</v>
      </c>
    </row>
    <row r="65" spans="1:7" s="47" customFormat="1">
      <c r="A65" s="86">
        <v>0.05</v>
      </c>
      <c r="B65" s="84" t="s">
        <v>65</v>
      </c>
      <c r="C65" s="108">
        <v>343976</v>
      </c>
      <c r="D65" s="108">
        <f>577236-C65</f>
        <v>233260</v>
      </c>
      <c r="E65" s="108">
        <v>163427</v>
      </c>
      <c r="F65" s="108">
        <v>207132</v>
      </c>
      <c r="G65" s="136">
        <f t="shared" si="2"/>
        <v>947795</v>
      </c>
    </row>
    <row r="66" spans="1:7" s="47" customFormat="1">
      <c r="A66" s="91" t="s">
        <v>16</v>
      </c>
      <c r="B66" s="84" t="s">
        <v>66</v>
      </c>
      <c r="C66" s="108">
        <v>13782</v>
      </c>
      <c r="D66" s="83">
        <f>23198-C66</f>
        <v>9416</v>
      </c>
      <c r="E66" s="83">
        <f>165799-D66-C66</f>
        <v>142601</v>
      </c>
      <c r="F66" s="83">
        <f>223792-E66-D66-C66</f>
        <v>57993</v>
      </c>
      <c r="G66" s="85">
        <f t="shared" si="2"/>
        <v>223792</v>
      </c>
    </row>
    <row r="67" spans="1:7" s="47" customFormat="1">
      <c r="A67" s="81" t="s">
        <v>16</v>
      </c>
      <c r="B67" s="84" t="s">
        <v>67</v>
      </c>
      <c r="C67" s="83">
        <v>46869.99</v>
      </c>
      <c r="D67" s="83">
        <f>96167-C67</f>
        <v>49297.01</v>
      </c>
      <c r="E67" s="83">
        <f>139300-D67-C67</f>
        <v>43132.999999999993</v>
      </c>
      <c r="F67" s="83">
        <f>190176-E67-D67-C67</f>
        <v>50875.999999999993</v>
      </c>
      <c r="G67" s="85">
        <f t="shared" si="2"/>
        <v>190176</v>
      </c>
    </row>
    <row r="68" spans="1:7" s="47" customFormat="1">
      <c r="A68" s="81" t="s">
        <v>16</v>
      </c>
      <c r="B68" s="84" t="s">
        <v>68</v>
      </c>
      <c r="C68" s="83">
        <v>145388</v>
      </c>
      <c r="D68" s="108">
        <f>247274-C68</f>
        <v>101886</v>
      </c>
      <c r="E68" s="83">
        <f>334777-D68-C68</f>
        <v>87503</v>
      </c>
      <c r="F68" s="108">
        <f>459958-E68-D68-C68</f>
        <v>125181</v>
      </c>
      <c r="G68" s="85">
        <f t="shared" si="2"/>
        <v>459958</v>
      </c>
    </row>
    <row r="69" spans="1:7" s="47" customFormat="1">
      <c r="A69" s="91" t="s">
        <v>16</v>
      </c>
      <c r="B69" s="84" t="s">
        <v>81</v>
      </c>
      <c r="C69" s="108">
        <v>12557</v>
      </c>
      <c r="D69" s="108">
        <f>24652-C69</f>
        <v>12095</v>
      </c>
      <c r="E69" s="83">
        <f>35234-D69-C69</f>
        <v>10582</v>
      </c>
      <c r="F69" s="83">
        <f>47782-E69-D69-C69</f>
        <v>12548</v>
      </c>
      <c r="G69" s="85">
        <f t="shared" si="2"/>
        <v>47782</v>
      </c>
    </row>
    <row r="70" spans="1:7" s="47" customFormat="1">
      <c r="A70" s="81" t="s">
        <v>22</v>
      </c>
      <c r="B70" s="84" t="s">
        <v>69</v>
      </c>
      <c r="C70" s="87">
        <v>718.85</v>
      </c>
      <c r="D70" s="84">
        <f>1479.16-C70</f>
        <v>760.31000000000006</v>
      </c>
      <c r="E70" s="88">
        <f>1932.59-D70</f>
        <v>1172.2799999999997</v>
      </c>
      <c r="F70" s="84">
        <f>2727.49-E70</f>
        <v>1555.21</v>
      </c>
      <c r="G70" s="85">
        <f t="shared" si="2"/>
        <v>4206.6499999999996</v>
      </c>
    </row>
    <row r="71" spans="1:7" s="47" customFormat="1">
      <c r="A71" s="45"/>
      <c r="B71" s="46"/>
      <c r="C71" s="138"/>
      <c r="D71" s="46"/>
      <c r="E71" s="46"/>
      <c r="F71" s="46"/>
      <c r="G71" s="50"/>
    </row>
    <row r="72" spans="1:7" s="47" customFormat="1" ht="14.4" thickBot="1">
      <c r="A72" s="48"/>
      <c r="B72" s="95" t="s">
        <v>70</v>
      </c>
      <c r="C72" s="95">
        <f>SUM(C8:C70)</f>
        <v>11445861.01</v>
      </c>
      <c r="D72" s="95">
        <f>SUM(D8:D70)</f>
        <v>9500821.0700000003</v>
      </c>
      <c r="E72" s="96">
        <f>SUM(E8:E70)</f>
        <v>7192945.7700000005</v>
      </c>
      <c r="F72" s="95">
        <f>SUM(F8:F70)</f>
        <v>8471053.8800000008</v>
      </c>
      <c r="G72" s="97">
        <f>SUM(G8:G70)</f>
        <v>36610681.729999989</v>
      </c>
    </row>
    <row r="73" spans="1:7" s="47" customFormat="1" ht="14.4" thickTop="1">
      <c r="A73" s="52"/>
      <c r="G73" s="49">
        <f>C72+D72+E72+F72</f>
        <v>36610681.729999997</v>
      </c>
    </row>
    <row r="74" spans="1:7" s="47" customFormat="1">
      <c r="A74" s="98" t="s">
        <v>117</v>
      </c>
      <c r="G74" s="49"/>
    </row>
    <row r="75" spans="1:7" s="47" customFormat="1">
      <c r="A75" s="98" t="s">
        <v>118</v>
      </c>
      <c r="B75" s="71"/>
      <c r="G75" s="49"/>
    </row>
    <row r="76" spans="1:7" s="47" customFormat="1">
      <c r="A76" s="98" t="s">
        <v>0</v>
      </c>
      <c r="B76" s="71"/>
      <c r="G76" s="49"/>
    </row>
    <row r="77" spans="1:7" s="47" customFormat="1">
      <c r="A77" s="139" t="s">
        <v>115</v>
      </c>
      <c r="B77" s="140"/>
      <c r="G77" s="49"/>
    </row>
    <row r="78" spans="1:7" s="47" customFormat="1">
      <c r="A78" s="98"/>
      <c r="B78" s="71"/>
      <c r="G78" s="49"/>
    </row>
    <row r="79" spans="1:7" s="47" customFormat="1">
      <c r="A79" s="53"/>
      <c r="B79" s="53"/>
      <c r="C79" s="53"/>
      <c r="D79" s="53"/>
      <c r="E79" s="53"/>
      <c r="F79" s="53"/>
      <c r="G79" s="54"/>
    </row>
    <row r="90" spans="1:7">
      <c r="A90" s="71"/>
      <c r="B90" s="71"/>
      <c r="C90" s="71"/>
      <c r="D90" s="71"/>
      <c r="E90" s="71"/>
      <c r="F90" s="71"/>
      <c r="G90" s="71"/>
    </row>
    <row r="91" spans="1:7">
      <c r="A91" s="71"/>
      <c r="B91" s="71"/>
      <c r="C91" s="71"/>
      <c r="D91" s="71"/>
      <c r="E91" s="71"/>
      <c r="F91" s="71"/>
      <c r="G91" s="71"/>
    </row>
    <row r="92" spans="1:7">
      <c r="A92" s="71"/>
      <c r="B92" s="71"/>
      <c r="C92" s="71"/>
      <c r="D92" s="71"/>
      <c r="E92" s="71"/>
      <c r="F92" s="71"/>
      <c r="G92" s="71"/>
    </row>
    <row r="93" spans="1:7">
      <c r="A93" s="71"/>
      <c r="B93" s="71"/>
      <c r="C93" s="71"/>
      <c r="D93" s="71"/>
      <c r="E93" s="71"/>
      <c r="F93" s="71"/>
      <c r="G93" s="71"/>
    </row>
    <row r="94" spans="1:7">
      <c r="A94" s="71"/>
      <c r="B94" s="71"/>
      <c r="C94" s="71"/>
      <c r="D94" s="71"/>
      <c r="E94" s="71"/>
      <c r="F94" s="71"/>
      <c r="G94" s="71"/>
    </row>
    <row r="95" spans="1:7">
      <c r="A95" s="71"/>
      <c r="B95" s="71"/>
      <c r="C95" s="71"/>
      <c r="D95" s="71"/>
      <c r="E95" s="71"/>
      <c r="F95" s="71"/>
      <c r="G95" s="71"/>
    </row>
    <row r="96" spans="1:7">
      <c r="A96" s="71"/>
      <c r="B96" s="71"/>
      <c r="C96" s="71"/>
      <c r="D96" s="71"/>
      <c r="E96" s="71"/>
      <c r="F96" s="71"/>
      <c r="G96" s="71"/>
    </row>
    <row r="97" spans="1:7">
      <c r="A97" s="71"/>
      <c r="B97" s="71"/>
      <c r="C97" s="71"/>
      <c r="D97" s="71"/>
      <c r="E97" s="71"/>
      <c r="F97" s="71"/>
      <c r="G97" s="71"/>
    </row>
    <row r="98" spans="1:7">
      <c r="A98" s="71"/>
      <c r="B98" s="71"/>
      <c r="C98" s="71"/>
      <c r="D98" s="71"/>
      <c r="E98" s="71"/>
      <c r="F98" s="71"/>
      <c r="G98" s="71"/>
    </row>
    <row r="99" spans="1:7">
      <c r="A99" s="71"/>
      <c r="B99" s="71"/>
      <c r="C99" s="71"/>
      <c r="D99" s="71"/>
      <c r="E99" s="71"/>
      <c r="F99" s="71"/>
      <c r="G99" s="71"/>
    </row>
    <row r="100" spans="1:7">
      <c r="A100" s="71"/>
      <c r="B100" s="71"/>
      <c r="C100" s="71"/>
      <c r="D100" s="71"/>
      <c r="E100" s="71"/>
      <c r="F100" s="71"/>
      <c r="G100" s="71"/>
    </row>
    <row r="101" spans="1:7">
      <c r="A101" s="71"/>
      <c r="B101" s="71"/>
      <c r="C101" s="71"/>
      <c r="D101" s="71"/>
      <c r="E101" s="71"/>
      <c r="F101" s="71"/>
      <c r="G101" s="71"/>
    </row>
    <row r="102" spans="1:7">
      <c r="A102" s="71"/>
      <c r="B102" s="71"/>
      <c r="C102" s="71"/>
      <c r="D102" s="71"/>
      <c r="E102" s="71"/>
      <c r="F102" s="71"/>
      <c r="G102" s="71"/>
    </row>
    <row r="103" spans="1:7">
      <c r="A103" s="71"/>
      <c r="B103" s="71"/>
      <c r="C103" s="71"/>
      <c r="D103" s="71"/>
      <c r="E103" s="71"/>
      <c r="F103" s="71"/>
      <c r="G103" s="71"/>
    </row>
    <row r="104" spans="1:7">
      <c r="A104" s="71"/>
      <c r="B104" s="71"/>
      <c r="C104" s="71"/>
      <c r="D104" s="71"/>
      <c r="E104" s="71"/>
      <c r="F104" s="71"/>
      <c r="G104" s="71"/>
    </row>
    <row r="105" spans="1:7">
      <c r="A105" s="71"/>
      <c r="B105" s="71"/>
      <c r="C105" s="71"/>
      <c r="D105" s="71"/>
      <c r="E105" s="71"/>
      <c r="F105" s="71"/>
      <c r="G105" s="71"/>
    </row>
    <row r="106" spans="1:7">
      <c r="A106" s="71"/>
      <c r="B106" s="71"/>
      <c r="C106" s="71"/>
      <c r="D106" s="71"/>
      <c r="E106" s="71"/>
      <c r="F106" s="71"/>
      <c r="G106" s="71"/>
    </row>
    <row r="107" spans="1:7">
      <c r="A107" s="71"/>
      <c r="B107" s="71"/>
      <c r="C107" s="71"/>
      <c r="D107" s="71"/>
      <c r="E107" s="71"/>
      <c r="F107" s="71"/>
      <c r="G107" s="71"/>
    </row>
    <row r="108" spans="1:7">
      <c r="A108" s="71"/>
      <c r="B108" s="71"/>
      <c r="C108" s="71"/>
      <c r="D108" s="71"/>
      <c r="E108" s="71"/>
      <c r="F108" s="71"/>
      <c r="G108" s="71"/>
    </row>
    <row r="109" spans="1:7">
      <c r="A109" s="71"/>
      <c r="B109" s="71"/>
      <c r="C109" s="71"/>
      <c r="D109" s="71"/>
      <c r="E109" s="71"/>
      <c r="F109" s="71"/>
      <c r="G109" s="71"/>
    </row>
    <row r="110" spans="1:7">
      <c r="A110" s="71"/>
      <c r="B110" s="71"/>
      <c r="C110" s="71"/>
      <c r="D110" s="71"/>
      <c r="E110" s="71"/>
      <c r="F110" s="71"/>
      <c r="G110" s="71"/>
    </row>
    <row r="111" spans="1:7">
      <c r="A111" s="71"/>
      <c r="B111" s="71"/>
      <c r="C111" s="71"/>
      <c r="D111" s="71"/>
      <c r="E111" s="71"/>
      <c r="F111" s="71"/>
      <c r="G111" s="71"/>
    </row>
    <row r="112" spans="1:7">
      <c r="A112" s="71"/>
      <c r="B112" s="71"/>
      <c r="C112" s="71"/>
      <c r="D112" s="71"/>
      <c r="E112" s="71"/>
      <c r="F112" s="71"/>
      <c r="G112" s="71"/>
    </row>
    <row r="113" spans="1:7">
      <c r="A113" s="71"/>
      <c r="B113" s="71"/>
      <c r="C113" s="71"/>
      <c r="D113" s="71"/>
      <c r="E113" s="71"/>
      <c r="F113" s="71"/>
      <c r="G113" s="71"/>
    </row>
    <row r="114" spans="1:7">
      <c r="A114" s="71"/>
      <c r="B114" s="71"/>
      <c r="C114" s="71"/>
      <c r="D114" s="71"/>
      <c r="E114" s="71"/>
      <c r="F114" s="71"/>
      <c r="G114" s="71"/>
    </row>
    <row r="115" spans="1:7">
      <c r="A115" s="71"/>
      <c r="B115" s="71"/>
      <c r="C115" s="71"/>
      <c r="D115" s="71"/>
      <c r="E115" s="71"/>
      <c r="F115" s="71"/>
      <c r="G115" s="71"/>
    </row>
    <row r="116" spans="1:7">
      <c r="A116" s="71"/>
      <c r="B116" s="71"/>
      <c r="C116" s="71"/>
      <c r="D116" s="71"/>
      <c r="E116" s="71"/>
      <c r="F116" s="71"/>
      <c r="G116" s="71"/>
    </row>
    <row r="117" spans="1:7">
      <c r="A117" s="71"/>
      <c r="B117" s="71"/>
      <c r="C117" s="71"/>
      <c r="D117" s="71"/>
      <c r="E117" s="71"/>
      <c r="F117" s="71"/>
      <c r="G117" s="71"/>
    </row>
    <row r="118" spans="1:7">
      <c r="A118" s="71"/>
      <c r="B118" s="71"/>
      <c r="C118" s="71"/>
      <c r="D118" s="71"/>
      <c r="E118" s="71"/>
      <c r="F118" s="71"/>
      <c r="G118" s="71"/>
    </row>
    <row r="119" spans="1:7">
      <c r="B119" s="99"/>
      <c r="C119" s="99"/>
      <c r="D119" s="99"/>
      <c r="E119" s="99"/>
      <c r="F119" s="99"/>
      <c r="G119" s="99"/>
    </row>
    <row r="121" spans="1:7">
      <c r="A121" s="99"/>
    </row>
    <row r="122" spans="1:7">
      <c r="A122" s="99"/>
      <c r="B122" s="99"/>
    </row>
    <row r="123" spans="1:7">
      <c r="A123" s="99"/>
      <c r="B123" s="99"/>
    </row>
    <row r="124" spans="1:7">
      <c r="A124" s="99"/>
      <c r="B124" s="99"/>
    </row>
    <row r="178" spans="1:7">
      <c r="A178" s="71"/>
      <c r="B178" s="71"/>
      <c r="C178" s="71"/>
      <c r="D178" s="71"/>
      <c r="E178" s="71"/>
      <c r="F178" s="71"/>
      <c r="G178" s="71"/>
    </row>
    <row r="179" spans="1:7">
      <c r="A179" s="71"/>
      <c r="B179" s="71"/>
      <c r="C179" s="71"/>
      <c r="D179" s="71"/>
      <c r="E179" s="71"/>
      <c r="F179" s="71"/>
      <c r="G179" s="71"/>
    </row>
  </sheetData>
  <pageMargins left="0.7" right="0.7" top="0.75" bottom="0.75" header="0.3" footer="0.3"/>
  <pageSetup scale="55" orientation="portrait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39"/>
  <sheetViews>
    <sheetView workbookViewId="0">
      <selection activeCell="K34" sqref="K34"/>
    </sheetView>
  </sheetViews>
  <sheetFormatPr defaultColWidth="15.6328125" defaultRowHeight="15"/>
  <cols>
    <col min="1" max="1" width="4.6328125" customWidth="1"/>
    <col min="2" max="2" width="3.81640625" customWidth="1"/>
    <col min="3" max="3" width="17" customWidth="1"/>
    <col min="4" max="4" width="2.6328125" hidden="1" customWidth="1"/>
    <col min="5" max="5" width="11" customWidth="1"/>
    <col min="6" max="6" width="1.6328125" customWidth="1"/>
    <col min="7" max="7" width="13.08984375" customWidth="1"/>
    <col min="8" max="8" width="10.453125" customWidth="1"/>
    <col min="9" max="9" width="13.81640625" customWidth="1"/>
    <col min="10" max="10" width="11.1796875" customWidth="1"/>
    <col min="11" max="11" width="19.1796875" customWidth="1"/>
    <col min="12" max="12" width="1.6328125" customWidth="1"/>
    <col min="13" max="13" width="8.6328125" customWidth="1"/>
  </cols>
  <sheetData>
    <row r="1" spans="1:37" s="4" customFormat="1">
      <c r="A1" s="1" t="s">
        <v>82</v>
      </c>
      <c r="B1" s="2"/>
      <c r="C1" s="2"/>
      <c r="D1" s="2"/>
      <c r="E1" s="4" t="s">
        <v>123</v>
      </c>
      <c r="M1" s="2" t="s">
        <v>83</v>
      </c>
      <c r="N1" s="2"/>
      <c r="O1" s="2"/>
      <c r="P1" s="2"/>
      <c r="Q1" s="2"/>
      <c r="R1" s="2"/>
      <c r="S1" s="3">
        <f ca="1">NOW()</f>
        <v>46146.497156365738</v>
      </c>
    </row>
    <row r="2" spans="1:37" s="4" customFormat="1">
      <c r="A2" s="5" t="s">
        <v>84</v>
      </c>
      <c r="E2" s="4" t="s">
        <v>121</v>
      </c>
      <c r="M2" s="4" t="s">
        <v>108</v>
      </c>
      <c r="S2" s="6"/>
    </row>
    <row r="3" spans="1:37" s="4" customFormat="1">
      <c r="A3" s="5" t="s">
        <v>85</v>
      </c>
      <c r="E3" s="4" t="s">
        <v>122</v>
      </c>
      <c r="M3" s="4" t="s">
        <v>114</v>
      </c>
      <c r="S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86</v>
      </c>
      <c r="H5" s="12" t="s">
        <v>87</v>
      </c>
      <c r="I5" s="12" t="s">
        <v>88</v>
      </c>
      <c r="J5" s="12" t="s">
        <v>89</v>
      </c>
      <c r="K5" s="13"/>
    </row>
    <row r="6" spans="1:37" s="4" customFormat="1">
      <c r="A6" s="10"/>
      <c r="B6" s="11"/>
      <c r="C6" s="11"/>
      <c r="D6" s="11"/>
      <c r="G6" s="57" t="s">
        <v>72</v>
      </c>
      <c r="H6" s="12" t="s">
        <v>72</v>
      </c>
      <c r="I6" s="12" t="s">
        <v>72</v>
      </c>
      <c r="J6" s="12" t="s">
        <v>72</v>
      </c>
      <c r="K6" s="14" t="s">
        <v>9</v>
      </c>
    </row>
    <row r="7" spans="1:37" s="4" customFormat="1">
      <c r="A7" s="10"/>
      <c r="B7" s="11"/>
      <c r="C7" s="11" t="s">
        <v>90</v>
      </c>
      <c r="D7" s="11"/>
      <c r="G7" s="57" t="s">
        <v>91</v>
      </c>
      <c r="H7" s="12" t="s">
        <v>92</v>
      </c>
      <c r="I7" s="12" t="s">
        <v>93</v>
      </c>
      <c r="J7" s="12" t="s">
        <v>94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95" customHeight="1">
      <c r="A9" s="17" t="s">
        <v>16</v>
      </c>
      <c r="B9" s="18"/>
      <c r="C9" s="18" t="s">
        <v>95</v>
      </c>
      <c r="D9" s="19"/>
      <c r="E9" s="18"/>
      <c r="F9" s="18"/>
      <c r="G9" s="65">
        <v>14052</v>
      </c>
      <c r="H9" s="65">
        <f>23594-G9</f>
        <v>9542</v>
      </c>
      <c r="I9" s="65">
        <f>28024-H9</f>
        <v>18482</v>
      </c>
      <c r="J9" s="65">
        <f>32253-I9</f>
        <v>13771</v>
      </c>
      <c r="K9" s="19">
        <f>J9+I9+H9+G9</f>
        <v>55847</v>
      </c>
    </row>
    <row r="10" spans="1:37" s="4" customFormat="1" ht="19.95" customHeight="1">
      <c r="A10" s="20"/>
      <c r="B10" s="21"/>
      <c r="C10" s="21" t="s">
        <v>0</v>
      </c>
      <c r="D10" s="22"/>
      <c r="E10" s="21"/>
      <c r="F10" s="21"/>
      <c r="G10" s="109"/>
      <c r="H10" s="65" t="s">
        <v>0</v>
      </c>
      <c r="I10" s="65" t="s">
        <v>0</v>
      </c>
      <c r="J10" s="65" t="s">
        <v>0</v>
      </c>
      <c r="K10" s="19" t="s">
        <v>0</v>
      </c>
    </row>
    <row r="11" spans="1:37" s="4" customFormat="1" ht="19.95" customHeight="1">
      <c r="A11" s="23">
        <v>0.05</v>
      </c>
      <c r="B11" s="18"/>
      <c r="C11" s="18" t="s">
        <v>96</v>
      </c>
      <c r="D11" s="19"/>
      <c r="E11" s="18"/>
      <c r="F11" s="18"/>
      <c r="G11" s="65">
        <v>21960</v>
      </c>
      <c r="H11" s="65">
        <f>42754-G11</f>
        <v>20794</v>
      </c>
      <c r="I11" s="111">
        <f>51435-H11</f>
        <v>30641</v>
      </c>
      <c r="J11" s="65">
        <f>68401-I11</f>
        <v>37760</v>
      </c>
      <c r="K11" s="19">
        <f t="shared" ref="K11:K32" si="0">J11+I11+H11+G11</f>
        <v>111155</v>
      </c>
    </row>
    <row r="12" spans="1:37" s="4" customFormat="1" ht="19.95" customHeight="1">
      <c r="A12" s="20"/>
      <c r="B12" s="21"/>
      <c r="C12" s="21" t="s">
        <v>0</v>
      </c>
      <c r="D12" s="22"/>
      <c r="E12" s="21"/>
      <c r="F12" s="21"/>
      <c r="G12" s="65" t="s">
        <v>0</v>
      </c>
      <c r="H12" s="65" t="s">
        <v>0</v>
      </c>
      <c r="I12" s="65" t="s">
        <v>0</v>
      </c>
      <c r="J12" s="65" t="s">
        <v>0</v>
      </c>
      <c r="K12" s="19" t="s">
        <v>0</v>
      </c>
    </row>
    <row r="13" spans="1:37" ht="19.95" customHeight="1">
      <c r="A13" s="23">
        <v>0.04</v>
      </c>
      <c r="B13" s="18"/>
      <c r="C13" s="18" t="s">
        <v>97</v>
      </c>
      <c r="D13" s="19"/>
      <c r="E13" s="18"/>
      <c r="F13" s="18"/>
      <c r="G13" s="65">
        <v>24181</v>
      </c>
      <c r="H13" s="65">
        <v>14095</v>
      </c>
      <c r="I13" s="65">
        <v>12593</v>
      </c>
      <c r="J13" s="65">
        <v>10461</v>
      </c>
      <c r="K13" s="19">
        <f t="shared" si="0"/>
        <v>61330</v>
      </c>
      <c r="L13" s="4"/>
      <c r="M13" s="4" t="s">
        <v>0</v>
      </c>
    </row>
    <row r="14" spans="1:37" ht="19.95" customHeight="1">
      <c r="A14" s="20"/>
      <c r="B14" s="21"/>
      <c r="C14" s="21" t="s">
        <v>0</v>
      </c>
      <c r="D14" s="22"/>
      <c r="E14" s="21"/>
      <c r="F14" s="21"/>
      <c r="G14" s="65" t="s">
        <v>0</v>
      </c>
      <c r="H14" s="65" t="s">
        <v>0</v>
      </c>
      <c r="I14" s="65" t="s">
        <v>0</v>
      </c>
      <c r="J14" s="65" t="s">
        <v>0</v>
      </c>
      <c r="K14" s="19" t="s">
        <v>0</v>
      </c>
      <c r="L14" s="4"/>
      <c r="M14" s="4"/>
    </row>
    <row r="15" spans="1:37" s="42" customFormat="1" ht="19.95" customHeight="1">
      <c r="A15" s="38">
        <v>0.05</v>
      </c>
      <c r="B15" s="39"/>
      <c r="C15" s="43" t="s">
        <v>47</v>
      </c>
      <c r="D15" s="40"/>
      <c r="E15" s="39"/>
      <c r="F15" s="39"/>
      <c r="G15" s="65">
        <v>100357.79</v>
      </c>
      <c r="H15" s="65">
        <f>168270.39-G15</f>
        <v>67912.60000000002</v>
      </c>
      <c r="I15" s="65">
        <f>216321.41-H15</f>
        <v>148408.81</v>
      </c>
      <c r="J15" s="65">
        <f>265518.14-I15</f>
        <v>117109.33000000002</v>
      </c>
      <c r="K15" s="19">
        <f t="shared" si="0"/>
        <v>433788.53</v>
      </c>
      <c r="L15" s="5"/>
      <c r="M15" s="4"/>
      <c r="N15"/>
      <c r="O15" s="10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95" customHeight="1">
      <c r="A16" s="20"/>
      <c r="B16" s="21"/>
      <c r="C16" s="21"/>
      <c r="D16" s="22"/>
      <c r="E16" s="21"/>
      <c r="F16" s="21"/>
      <c r="G16" s="65" t="s">
        <v>0</v>
      </c>
      <c r="H16" s="65" t="s">
        <v>0</v>
      </c>
      <c r="I16" s="65"/>
      <c r="J16" s="65" t="s">
        <v>0</v>
      </c>
      <c r="K16" s="19" t="s">
        <v>0</v>
      </c>
      <c r="L16" s="4"/>
      <c r="M16" s="4"/>
    </row>
    <row r="17" spans="1:15" ht="19.95" customHeight="1">
      <c r="A17" s="17" t="s">
        <v>22</v>
      </c>
      <c r="B17" s="18"/>
      <c r="C17" s="18" t="s">
        <v>98</v>
      </c>
      <c r="D17" s="24" t="s">
        <v>99</v>
      </c>
      <c r="E17" s="18"/>
      <c r="F17" s="18"/>
      <c r="G17" s="65">
        <v>336.84</v>
      </c>
      <c r="H17" s="65">
        <f>1048.7-G17</f>
        <v>711.86000000000013</v>
      </c>
      <c r="I17" s="65">
        <f>1277.08-H17</f>
        <v>565.2199999999998</v>
      </c>
      <c r="J17" s="65">
        <v>600.34</v>
      </c>
      <c r="K17" s="19">
        <f t="shared" si="0"/>
        <v>2214.2600000000002</v>
      </c>
      <c r="L17" s="4"/>
      <c r="M17" s="4"/>
      <c r="N17" s="44"/>
      <c r="O17" s="44"/>
    </row>
    <row r="18" spans="1:15" ht="19.95" customHeight="1">
      <c r="A18" s="20"/>
      <c r="B18" s="21"/>
      <c r="C18" s="21" t="s">
        <v>0</v>
      </c>
      <c r="D18" s="22"/>
      <c r="E18" s="21"/>
      <c r="F18" s="21"/>
      <c r="G18" s="65" t="s">
        <v>0</v>
      </c>
      <c r="H18" s="65" t="s">
        <v>0</v>
      </c>
      <c r="I18" s="65" t="s">
        <v>0</v>
      </c>
      <c r="J18" s="65" t="s">
        <v>0</v>
      </c>
      <c r="K18" s="19" t="s">
        <v>0</v>
      </c>
      <c r="L18" s="4"/>
      <c r="M18" s="4"/>
    </row>
    <row r="19" spans="1:15" ht="19.95" customHeight="1">
      <c r="A19" s="25">
        <v>0.03</v>
      </c>
      <c r="B19" s="18"/>
      <c r="C19" s="18" t="s">
        <v>100</v>
      </c>
      <c r="D19" s="19"/>
      <c r="E19" s="18"/>
      <c r="F19" s="18"/>
      <c r="G19" s="65">
        <v>19795</v>
      </c>
      <c r="H19" s="65">
        <f>26289-G19</f>
        <v>6494</v>
      </c>
      <c r="I19" s="65">
        <f>51142-H19</f>
        <v>44648</v>
      </c>
      <c r="J19" s="65">
        <f>61283-I19</f>
        <v>16635</v>
      </c>
      <c r="K19" s="19">
        <f t="shared" si="0"/>
        <v>87572</v>
      </c>
      <c r="L19" s="4"/>
      <c r="M19" s="4"/>
    </row>
    <row r="20" spans="1:15" ht="19.95" customHeight="1">
      <c r="A20" s="20"/>
      <c r="B20" s="21"/>
      <c r="C20" s="21"/>
      <c r="D20" s="22"/>
      <c r="E20" s="21"/>
      <c r="F20" s="21"/>
      <c r="G20" s="65" t="s">
        <v>0</v>
      </c>
      <c r="H20" s="65" t="s">
        <v>0</v>
      </c>
      <c r="I20" s="65" t="s">
        <v>0</v>
      </c>
      <c r="J20" s="65" t="s">
        <v>0</v>
      </c>
      <c r="K20" s="19" t="s">
        <v>0</v>
      </c>
      <c r="L20" s="4"/>
      <c r="M20" s="4"/>
    </row>
    <row r="21" spans="1:15" ht="19.95" customHeight="1">
      <c r="A21" s="25">
        <v>0.05</v>
      </c>
      <c r="B21" s="18"/>
      <c r="C21" s="18" t="s">
        <v>101</v>
      </c>
      <c r="D21" s="19"/>
      <c r="E21" s="18"/>
      <c r="F21" s="18"/>
      <c r="G21" s="65">
        <v>4627.25</v>
      </c>
      <c r="H21" s="65">
        <f>6177.07-G21</f>
        <v>1549.8199999999997</v>
      </c>
      <c r="I21" s="65">
        <f>8298.41-H21</f>
        <v>6748.59</v>
      </c>
      <c r="J21" s="65">
        <f>12718.74-I21</f>
        <v>5970.15</v>
      </c>
      <c r="K21" s="19">
        <f t="shared" si="0"/>
        <v>18895.809999999998</v>
      </c>
      <c r="L21" s="4"/>
      <c r="M21" s="4" t="s">
        <v>0</v>
      </c>
    </row>
    <row r="22" spans="1:15" ht="19.95" customHeight="1">
      <c r="A22" s="20"/>
      <c r="B22" s="21"/>
      <c r="C22" s="21"/>
      <c r="D22" s="22"/>
      <c r="E22" s="21"/>
      <c r="F22" s="21"/>
      <c r="G22" s="65" t="s">
        <v>0</v>
      </c>
      <c r="H22" s="65" t="s">
        <v>0</v>
      </c>
      <c r="I22" s="65" t="s">
        <v>0</v>
      </c>
      <c r="J22" s="65" t="s">
        <v>0</v>
      </c>
      <c r="K22" s="19" t="s">
        <v>0</v>
      </c>
      <c r="L22" s="4"/>
      <c r="M22" s="4"/>
    </row>
    <row r="23" spans="1:15" ht="19.95" customHeight="1">
      <c r="A23" s="23">
        <v>0.05</v>
      </c>
      <c r="B23" s="18"/>
      <c r="C23" s="18" t="s">
        <v>102</v>
      </c>
      <c r="D23" s="19"/>
      <c r="E23" s="18"/>
      <c r="F23" s="18"/>
      <c r="G23" s="65">
        <v>22844</v>
      </c>
      <c r="H23" s="65">
        <v>27273</v>
      </c>
      <c r="I23" s="65">
        <v>28821</v>
      </c>
      <c r="J23" s="65">
        <v>32253</v>
      </c>
      <c r="K23" s="19">
        <f t="shared" si="0"/>
        <v>111191</v>
      </c>
      <c r="L23" s="4"/>
      <c r="M23" s="4"/>
    </row>
    <row r="24" spans="1:15" ht="19.95" customHeight="1">
      <c r="A24" s="20"/>
      <c r="B24" s="21"/>
      <c r="C24" s="21" t="s">
        <v>0</v>
      </c>
      <c r="D24" s="22"/>
      <c r="E24" s="21"/>
      <c r="F24" s="21"/>
      <c r="G24" s="65"/>
      <c r="H24" s="65" t="s">
        <v>0</v>
      </c>
      <c r="I24" s="65" t="s">
        <v>0</v>
      </c>
      <c r="J24" s="65" t="s">
        <v>0</v>
      </c>
      <c r="K24" s="19" t="s">
        <v>0</v>
      </c>
      <c r="L24" s="4"/>
      <c r="M24" s="4"/>
    </row>
    <row r="25" spans="1:15" ht="19.95" customHeight="1">
      <c r="A25" s="23">
        <v>0.04</v>
      </c>
      <c r="B25" s="18"/>
      <c r="C25" s="18" t="s">
        <v>103</v>
      </c>
      <c r="D25" s="19"/>
      <c r="E25" s="18"/>
      <c r="F25" s="18"/>
      <c r="G25" s="65">
        <v>157587</v>
      </c>
      <c r="H25" s="65">
        <f>248148-G25</f>
        <v>90561</v>
      </c>
      <c r="I25" s="65">
        <f>316920-H25</f>
        <v>226359</v>
      </c>
      <c r="J25" s="65">
        <f>398514-I25</f>
        <v>172155</v>
      </c>
      <c r="K25" s="19">
        <f t="shared" si="0"/>
        <v>646662</v>
      </c>
      <c r="L25" s="4"/>
      <c r="M25" s="4" t="s">
        <v>0</v>
      </c>
    </row>
    <row r="26" spans="1:15" ht="19.95" customHeight="1">
      <c r="A26" s="20"/>
      <c r="B26" s="21"/>
      <c r="C26" s="21" t="s">
        <v>0</v>
      </c>
      <c r="D26" s="22"/>
      <c r="E26" s="21"/>
      <c r="F26" s="21"/>
      <c r="G26" s="65" t="s">
        <v>0</v>
      </c>
      <c r="H26" s="65" t="s">
        <v>0</v>
      </c>
      <c r="I26" s="65"/>
      <c r="J26" s="65" t="s">
        <v>0</v>
      </c>
      <c r="K26" s="19" t="s">
        <v>0</v>
      </c>
      <c r="L26" s="4"/>
      <c r="M26" s="4"/>
    </row>
    <row r="27" spans="1:15" ht="19.95" customHeight="1">
      <c r="A27" s="17" t="s">
        <v>22</v>
      </c>
      <c r="B27" s="18"/>
      <c r="C27" s="18" t="s">
        <v>104</v>
      </c>
      <c r="D27" s="19"/>
      <c r="E27" s="18"/>
      <c r="F27" s="18"/>
      <c r="G27" s="65">
        <v>795</v>
      </c>
      <c r="H27" s="65">
        <f>1776-G27</f>
        <v>981</v>
      </c>
      <c r="I27" s="65">
        <f>2654-H27</f>
        <v>1673</v>
      </c>
      <c r="J27" s="65">
        <f>3699-I27</f>
        <v>2026</v>
      </c>
      <c r="K27" s="19">
        <f t="shared" si="0"/>
        <v>5475</v>
      </c>
      <c r="L27" s="4"/>
      <c r="M27" s="4"/>
    </row>
    <row r="28" spans="1:15" ht="19.95" customHeight="1">
      <c r="A28" s="20"/>
      <c r="B28" s="21"/>
      <c r="C28" s="21"/>
      <c r="D28" s="22"/>
      <c r="E28" s="21"/>
      <c r="F28" s="21"/>
      <c r="G28" s="65"/>
      <c r="H28" s="65"/>
      <c r="I28" s="65"/>
      <c r="J28" s="65"/>
      <c r="K28" s="19"/>
      <c r="L28" s="4"/>
      <c r="M28" s="4"/>
    </row>
    <row r="29" spans="1:15" ht="19.95" customHeight="1">
      <c r="A29" s="23">
        <v>0.03</v>
      </c>
      <c r="B29" s="18"/>
      <c r="C29" s="18" t="s">
        <v>129</v>
      </c>
      <c r="D29" s="19"/>
      <c r="E29" s="18"/>
      <c r="F29" s="18"/>
      <c r="G29" s="65">
        <v>0</v>
      </c>
      <c r="H29" s="65">
        <v>453</v>
      </c>
      <c r="I29" s="65">
        <f>2289-H29</f>
        <v>1836</v>
      </c>
      <c r="J29" s="65">
        <f>2546-I29</f>
        <v>710</v>
      </c>
      <c r="K29" s="19">
        <v>2546</v>
      </c>
      <c r="L29" s="4"/>
      <c r="M29" s="4"/>
    </row>
    <row r="30" spans="1:15" ht="19.95" customHeight="1">
      <c r="A30" s="23">
        <v>0.05</v>
      </c>
      <c r="B30" s="18"/>
      <c r="C30" s="18" t="s">
        <v>65</v>
      </c>
      <c r="D30" s="22"/>
      <c r="E30" s="18"/>
      <c r="F30" s="18"/>
      <c r="G30" s="65">
        <v>88366.57</v>
      </c>
      <c r="H30" s="65">
        <f>156587.58-G30</f>
        <v>68221.00999999998</v>
      </c>
      <c r="I30" s="65">
        <f>208192.15-H30</f>
        <v>139971.14000000001</v>
      </c>
      <c r="J30" s="65">
        <f>269867.05-I30</f>
        <v>129895.90999999997</v>
      </c>
      <c r="K30" s="19">
        <f t="shared" si="0"/>
        <v>426454.62999999995</v>
      </c>
      <c r="L30" s="4"/>
      <c r="M30" s="4"/>
    </row>
    <row r="31" spans="1:15" ht="19.95" customHeight="1">
      <c r="A31" s="20"/>
      <c r="B31" s="21"/>
      <c r="C31" s="21"/>
      <c r="D31" s="21"/>
      <c r="E31" s="26"/>
      <c r="F31" s="26"/>
      <c r="G31" s="109"/>
      <c r="H31" s="109"/>
      <c r="I31" s="65" t="s">
        <v>0</v>
      </c>
      <c r="J31" s="65" t="s">
        <v>0</v>
      </c>
      <c r="K31" s="19" t="s">
        <v>0</v>
      </c>
      <c r="L31" s="4"/>
      <c r="M31" s="4"/>
    </row>
    <row r="32" spans="1:15" ht="17.399999999999999" thickBot="1">
      <c r="A32" s="27"/>
      <c r="B32" s="28"/>
      <c r="C32" s="28" t="s">
        <v>105</v>
      </c>
      <c r="D32" s="29"/>
      <c r="E32" s="28"/>
      <c r="F32" s="28"/>
      <c r="G32" s="62">
        <f>SUM(G9:G31)</f>
        <v>454902.45</v>
      </c>
      <c r="H32" s="62">
        <f>SUM(H9:H31)</f>
        <v>308588.29000000004</v>
      </c>
      <c r="I32" s="62">
        <f>SUM(I9:I31)</f>
        <v>660746.76</v>
      </c>
      <c r="J32" s="65">
        <f>SUM(J9:J31)</f>
        <v>539346.73</v>
      </c>
      <c r="K32" s="19">
        <f t="shared" si="0"/>
        <v>1963584.23</v>
      </c>
      <c r="L32" s="4"/>
      <c r="M32" s="4"/>
    </row>
    <row r="33" spans="1:13" s="4" customFormat="1" ht="15.6" thickTop="1">
      <c r="A33" s="5"/>
      <c r="I33" s="30"/>
      <c r="J33" s="30"/>
      <c r="K33" s="6">
        <f>G32+H32+I32+J32</f>
        <v>1963584.23</v>
      </c>
    </row>
    <row r="34" spans="1:13" s="4" customFormat="1" ht="15.6">
      <c r="A34" s="31">
        <v>1</v>
      </c>
      <c r="B34" s="32"/>
      <c r="C34" s="4" t="s">
        <v>106</v>
      </c>
      <c r="K34" s="6"/>
    </row>
    <row r="35" spans="1:13" ht="15.6">
      <c r="A35" s="33"/>
      <c r="B35" s="4"/>
      <c r="C35" s="4"/>
      <c r="D35" s="4"/>
      <c r="E35" s="4"/>
      <c r="F35" s="4"/>
      <c r="G35" s="4"/>
      <c r="H35" s="4"/>
      <c r="I35" s="4"/>
      <c r="J35" s="4"/>
      <c r="K35" s="6"/>
      <c r="L35" s="4"/>
      <c r="M35" s="4"/>
    </row>
    <row r="36" spans="1:13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6"/>
    </row>
    <row r="39" spans="1:13" ht="15.6">
      <c r="C39" s="3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79"/>
  <sheetViews>
    <sheetView topLeftCell="B1" workbookViewId="0">
      <pane xSplit="2" ySplit="7" topLeftCell="D35" activePane="bottomRight" state="frozen"/>
      <selection activeCell="B1" sqref="B1"/>
      <selection pane="topRight" activeCell="C1" sqref="C1"/>
      <selection pane="bottomLeft" activeCell="B8" sqref="B8"/>
      <selection pane="bottomRight" activeCell="B41" sqref="B41"/>
    </sheetView>
  </sheetViews>
  <sheetFormatPr defaultColWidth="8.81640625" defaultRowHeight="13.8"/>
  <cols>
    <col min="1" max="2" width="6.453125" style="55" customWidth="1"/>
    <col min="3" max="3" width="29.08984375" style="55" customWidth="1"/>
    <col min="4" max="4" width="11.6328125" style="55" customWidth="1"/>
    <col min="5" max="5" width="13.54296875" style="55" customWidth="1"/>
    <col min="6" max="6" width="13.1796875" style="55" customWidth="1"/>
    <col min="7" max="7" width="12.81640625" style="55" customWidth="1"/>
    <col min="8" max="8" width="14.81640625" style="55" customWidth="1"/>
    <col min="9" max="9" width="8.81640625" style="55"/>
    <col min="10" max="11" width="9.6328125" style="55" bestFit="1" customWidth="1"/>
    <col min="12" max="16384" width="8.81640625" style="55"/>
  </cols>
  <sheetData>
    <row r="1" spans="1:9" s="47" customFormat="1">
      <c r="A1" s="45" t="s">
        <v>0</v>
      </c>
      <c r="B1" s="46"/>
      <c r="C1" s="46"/>
      <c r="D1" s="46" t="s">
        <v>1</v>
      </c>
      <c r="E1" s="46"/>
      <c r="F1" s="46"/>
      <c r="G1" s="46"/>
      <c r="H1" s="72">
        <f ca="1">NOW()</f>
        <v>46146.497156365738</v>
      </c>
    </row>
    <row r="2" spans="1:9" s="47" customFormat="1">
      <c r="A2" s="48" t="s">
        <v>0</v>
      </c>
      <c r="D2" s="47" t="s">
        <v>107</v>
      </c>
      <c r="H2" s="49"/>
    </row>
    <row r="3" spans="1:9" s="47" customFormat="1">
      <c r="A3" s="48" t="s">
        <v>0</v>
      </c>
      <c r="D3" s="47" t="s">
        <v>113</v>
      </c>
      <c r="H3" s="49"/>
    </row>
    <row r="4" spans="1:9" s="47" customFormat="1">
      <c r="A4" s="68" t="s">
        <v>2</v>
      </c>
      <c r="B4" s="69"/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70" t="s">
        <v>2</v>
      </c>
    </row>
    <row r="5" spans="1:9" s="47" customFormat="1">
      <c r="A5" s="48"/>
      <c r="C5" s="73"/>
      <c r="D5" s="74" t="s">
        <v>3</v>
      </c>
      <c r="E5" s="74" t="s">
        <v>4</v>
      </c>
      <c r="F5" s="74" t="s">
        <v>5</v>
      </c>
      <c r="G5" s="74" t="s">
        <v>6</v>
      </c>
      <c r="H5" s="75"/>
    </row>
    <row r="6" spans="1:9" s="47" customFormat="1">
      <c r="A6" s="48"/>
      <c r="C6" s="73"/>
      <c r="D6" s="74" t="s">
        <v>7</v>
      </c>
      <c r="E6" s="74" t="s">
        <v>8</v>
      </c>
      <c r="F6" s="74" t="s">
        <v>7</v>
      </c>
      <c r="G6" s="74" t="s">
        <v>72</v>
      </c>
      <c r="H6" s="76" t="s">
        <v>9</v>
      </c>
    </row>
    <row r="7" spans="1:9" s="47" customFormat="1">
      <c r="A7" s="67"/>
      <c r="B7" s="141"/>
      <c r="C7" s="77" t="s">
        <v>10</v>
      </c>
      <c r="D7" s="78" t="s">
        <v>11</v>
      </c>
      <c r="E7" s="78" t="s">
        <v>12</v>
      </c>
      <c r="F7" s="79" t="s">
        <v>13</v>
      </c>
      <c r="G7" s="78" t="s">
        <v>14</v>
      </c>
      <c r="H7" s="80" t="s">
        <v>15</v>
      </c>
      <c r="I7" s="47" t="s">
        <v>0</v>
      </c>
    </row>
    <row r="8" spans="1:9" s="47" customFormat="1">
      <c r="A8" s="81" t="s">
        <v>16</v>
      </c>
      <c r="B8" s="81" t="s">
        <v>16</v>
      </c>
      <c r="C8" s="82" t="s">
        <v>17</v>
      </c>
      <c r="D8" s="83">
        <v>131390</v>
      </c>
      <c r="E8" s="83">
        <f>223053-D8</f>
        <v>91663</v>
      </c>
      <c r="F8" s="83">
        <v>73477.34</v>
      </c>
      <c r="G8" s="83">
        <f>517735-F8</f>
        <v>444257.66000000003</v>
      </c>
      <c r="H8" s="85">
        <f>D8+E8+F8+G8</f>
        <v>740788</v>
      </c>
      <c r="I8" s="47" t="s">
        <v>0</v>
      </c>
    </row>
    <row r="9" spans="1:9" s="127" customFormat="1">
      <c r="A9" s="126">
        <v>0.05</v>
      </c>
      <c r="B9" s="126">
        <v>0.05</v>
      </c>
      <c r="C9" s="88" t="s">
        <v>77</v>
      </c>
      <c r="D9" s="108">
        <v>2692022</v>
      </c>
      <c r="E9" s="108">
        <f>5405159-D9</f>
        <v>2713137</v>
      </c>
      <c r="F9" s="108">
        <v>2193185.06</v>
      </c>
      <c r="G9" s="108">
        <f>9121338-F9</f>
        <v>6928152.9399999995</v>
      </c>
      <c r="H9" s="85">
        <f t="shared" ref="H9:H72" si="0">D9+E9+F9+G9</f>
        <v>14526497</v>
      </c>
    </row>
    <row r="10" spans="1:9" s="127" customFormat="1">
      <c r="A10" s="126">
        <v>0.01</v>
      </c>
      <c r="B10" s="126">
        <v>0.01</v>
      </c>
      <c r="C10" s="88" t="s">
        <v>80</v>
      </c>
      <c r="D10" s="108">
        <v>538427</v>
      </c>
      <c r="E10" s="108">
        <f>1081055-D10</f>
        <v>542628</v>
      </c>
      <c r="F10" s="108">
        <f>1263536-E10</f>
        <v>720908</v>
      </c>
      <c r="G10" s="108">
        <f>1824238-F10</f>
        <v>1103330</v>
      </c>
      <c r="H10" s="85">
        <f t="shared" si="0"/>
        <v>2905293</v>
      </c>
    </row>
    <row r="11" spans="1:9" s="47" customFormat="1">
      <c r="A11" s="81" t="s">
        <v>16</v>
      </c>
      <c r="B11" s="81" t="s">
        <v>16</v>
      </c>
      <c r="C11" s="84" t="s">
        <v>18</v>
      </c>
      <c r="D11" s="83">
        <v>38652</v>
      </c>
      <c r="E11" s="108">
        <f>53975-D11</f>
        <v>15323</v>
      </c>
      <c r="F11" s="108">
        <f>186633-E11</f>
        <v>171310</v>
      </c>
      <c r="G11" s="108">
        <f>244506-F11</f>
        <v>73196</v>
      </c>
      <c r="H11" s="85">
        <f t="shared" si="0"/>
        <v>298481</v>
      </c>
      <c r="I11" s="47" t="s">
        <v>0</v>
      </c>
    </row>
    <row r="12" spans="1:9" s="47" customFormat="1">
      <c r="A12" s="81" t="s">
        <v>16</v>
      </c>
      <c r="B12" s="81" t="s">
        <v>16</v>
      </c>
      <c r="C12" s="84" t="s">
        <v>19</v>
      </c>
      <c r="D12" s="108">
        <v>73809</v>
      </c>
      <c r="E12" s="108">
        <f>121647-D12</f>
        <v>47838</v>
      </c>
      <c r="F12" s="83">
        <f>193832-E12</f>
        <v>145994</v>
      </c>
      <c r="G12" s="108">
        <f>290995-F12</f>
        <v>145001</v>
      </c>
      <c r="H12" s="85">
        <f t="shared" si="0"/>
        <v>412642</v>
      </c>
    </row>
    <row r="13" spans="1:9" s="47" customFormat="1">
      <c r="A13" s="81" t="s">
        <v>16</v>
      </c>
      <c r="B13" s="81" t="s">
        <v>16</v>
      </c>
      <c r="C13" s="84" t="s">
        <v>20</v>
      </c>
      <c r="D13" s="108">
        <v>2266.46</v>
      </c>
      <c r="E13" s="108">
        <f>5607.88-D13</f>
        <v>3341.42</v>
      </c>
      <c r="F13" s="83">
        <f>7198.58-E13</f>
        <v>3857.16</v>
      </c>
      <c r="G13" s="83">
        <f>10924.73-F13</f>
        <v>7067.57</v>
      </c>
      <c r="H13" s="85">
        <f t="shared" si="0"/>
        <v>16532.61</v>
      </c>
    </row>
    <row r="14" spans="1:9" s="47" customFormat="1">
      <c r="A14" s="86">
        <v>0.04</v>
      </c>
      <c r="B14" s="86">
        <v>0.04</v>
      </c>
      <c r="C14" s="84" t="s">
        <v>21</v>
      </c>
      <c r="D14" s="83">
        <v>8087</v>
      </c>
      <c r="E14" s="108">
        <f>18456-D14</f>
        <v>10369</v>
      </c>
      <c r="F14" s="108">
        <v>8581.85</v>
      </c>
      <c r="G14" s="108">
        <f>32277-F14</f>
        <v>23695.15</v>
      </c>
      <c r="H14" s="85">
        <f t="shared" si="0"/>
        <v>50733</v>
      </c>
    </row>
    <row r="15" spans="1:9" s="47" customFormat="1">
      <c r="A15" s="81" t="s">
        <v>22</v>
      </c>
      <c r="B15" s="81" t="s">
        <v>22</v>
      </c>
      <c r="C15" s="84" t="s">
        <v>23</v>
      </c>
      <c r="D15" s="108">
        <v>28128</v>
      </c>
      <c r="E15" s="83">
        <v>27183</v>
      </c>
      <c r="F15" s="108">
        <f>73937-E15</f>
        <v>46754</v>
      </c>
      <c r="G15" s="83">
        <f>98344-F15</f>
        <v>51590</v>
      </c>
      <c r="H15" s="85">
        <f t="shared" si="0"/>
        <v>153655</v>
      </c>
    </row>
    <row r="16" spans="1:9" s="47" customFormat="1">
      <c r="A16" s="86">
        <v>0.03</v>
      </c>
      <c r="B16" s="86">
        <v>0.03</v>
      </c>
      <c r="C16" s="84" t="s">
        <v>74</v>
      </c>
      <c r="D16" s="83">
        <v>16702</v>
      </c>
      <c r="E16" s="108">
        <f>33110-D16</f>
        <v>16408</v>
      </c>
      <c r="F16" s="108">
        <f>42237-E16</f>
        <v>25829</v>
      </c>
      <c r="G16" s="108">
        <f>56845-F16</f>
        <v>31016</v>
      </c>
      <c r="H16" s="85">
        <f t="shared" si="0"/>
        <v>89955</v>
      </c>
    </row>
    <row r="17" spans="1:9" s="47" customFormat="1">
      <c r="A17" s="86">
        <v>0.03</v>
      </c>
      <c r="B17" s="86">
        <v>0.03</v>
      </c>
      <c r="C17" s="84" t="s">
        <v>75</v>
      </c>
      <c r="D17" s="108">
        <v>179.03</v>
      </c>
      <c r="E17" s="108">
        <f>5035.36-D17</f>
        <v>4856.33</v>
      </c>
      <c r="F17" s="83">
        <v>3295.94</v>
      </c>
      <c r="G17" s="83">
        <v>3379.85</v>
      </c>
      <c r="H17" s="85">
        <f t="shared" si="0"/>
        <v>11711.15</v>
      </c>
    </row>
    <row r="18" spans="1:9" s="47" customFormat="1">
      <c r="A18" s="86">
        <v>0.05</v>
      </c>
      <c r="B18" s="86">
        <v>0.05</v>
      </c>
      <c r="C18" s="84" t="s">
        <v>24</v>
      </c>
      <c r="D18" s="83">
        <v>315385</v>
      </c>
      <c r="E18" s="83">
        <f>594121-D18</f>
        <v>278736</v>
      </c>
      <c r="F18" s="108">
        <f>844966-E18</f>
        <v>566230</v>
      </c>
      <c r="G18" s="108">
        <f>1162524-F18</f>
        <v>596294</v>
      </c>
      <c r="H18" s="85">
        <f t="shared" si="0"/>
        <v>1756645</v>
      </c>
    </row>
    <row r="19" spans="1:9" s="47" customFormat="1">
      <c r="A19" s="81" t="s">
        <v>22</v>
      </c>
      <c r="B19" s="81" t="s">
        <v>22</v>
      </c>
      <c r="C19" s="84" t="s">
        <v>25</v>
      </c>
      <c r="D19" s="108">
        <v>1784</v>
      </c>
      <c r="E19" s="83">
        <f>3118-D19</f>
        <v>1334</v>
      </c>
      <c r="F19" s="108">
        <f>5004-E19</f>
        <v>3670</v>
      </c>
      <c r="G19" s="108">
        <f>7336-F19</f>
        <v>3666</v>
      </c>
      <c r="H19" s="85">
        <f t="shared" si="0"/>
        <v>10454</v>
      </c>
    </row>
    <row r="20" spans="1:9" s="47" customFormat="1">
      <c r="A20" s="86">
        <v>0.04</v>
      </c>
      <c r="B20" s="86">
        <v>0.04</v>
      </c>
      <c r="C20" s="84" t="s">
        <v>26</v>
      </c>
      <c r="D20" s="108">
        <v>42196</v>
      </c>
      <c r="E20" s="83">
        <f>70625-D20</f>
        <v>28429</v>
      </c>
      <c r="F20" s="108">
        <f>75318-E20</f>
        <v>46889</v>
      </c>
      <c r="G20" s="108">
        <f>82753-F20</f>
        <v>35864</v>
      </c>
      <c r="H20" s="85">
        <f t="shared" si="0"/>
        <v>153378</v>
      </c>
    </row>
    <row r="21" spans="1:9" s="47" customFormat="1">
      <c r="A21" s="81" t="s">
        <v>27</v>
      </c>
      <c r="B21" s="81" t="s">
        <v>27</v>
      </c>
      <c r="C21" s="84" t="s">
        <v>28</v>
      </c>
      <c r="D21" s="83">
        <v>9351</v>
      </c>
      <c r="E21" s="83">
        <f>14210-D21</f>
        <v>4859</v>
      </c>
      <c r="F21" s="108">
        <f>17427-E21</f>
        <v>12568</v>
      </c>
      <c r="G21" s="83">
        <f>22966-F21</f>
        <v>10398</v>
      </c>
      <c r="H21" s="85">
        <f t="shared" si="0"/>
        <v>37176</v>
      </c>
    </row>
    <row r="22" spans="1:9" s="47" customFormat="1">
      <c r="A22" s="86">
        <v>0.05</v>
      </c>
      <c r="B22" s="86">
        <v>0.05</v>
      </c>
      <c r="C22" s="84" t="s">
        <v>29</v>
      </c>
      <c r="D22" s="83">
        <v>46157.96</v>
      </c>
      <c r="E22" s="83">
        <f>75853.53-D22</f>
        <v>29695.57</v>
      </c>
      <c r="F22" s="83">
        <f>95847.2-E22</f>
        <v>66151.63</v>
      </c>
      <c r="G22" s="83">
        <f>123214-F22</f>
        <v>57062.369999999995</v>
      </c>
      <c r="H22" s="85">
        <f t="shared" si="0"/>
        <v>199067.53</v>
      </c>
    </row>
    <row r="23" spans="1:9" s="47" customFormat="1">
      <c r="A23" s="86">
        <v>0.05</v>
      </c>
      <c r="B23" s="86">
        <v>0.05</v>
      </c>
      <c r="C23" s="84" t="s">
        <v>76</v>
      </c>
      <c r="D23" s="83">
        <v>44067</v>
      </c>
      <c r="E23" s="83">
        <f>73007-D23</f>
        <v>28940</v>
      </c>
      <c r="F23" s="108">
        <f>95325-E23</f>
        <v>66385</v>
      </c>
      <c r="G23" s="83">
        <f>118784-F23</f>
        <v>52399</v>
      </c>
      <c r="H23" s="85">
        <f t="shared" si="0"/>
        <v>191791</v>
      </c>
    </row>
    <row r="24" spans="1:9" s="47" customFormat="1">
      <c r="A24" s="86">
        <v>0.05</v>
      </c>
      <c r="B24" s="86">
        <v>0.05</v>
      </c>
      <c r="C24" s="84" t="s">
        <v>30</v>
      </c>
      <c r="D24" s="83">
        <v>157671</v>
      </c>
      <c r="E24" s="83">
        <v>144182</v>
      </c>
      <c r="F24" s="83">
        <f>410093-E24</f>
        <v>265911</v>
      </c>
      <c r="G24" s="83">
        <f>535054-F24</f>
        <v>269143</v>
      </c>
      <c r="H24" s="85">
        <f t="shared" si="0"/>
        <v>836907</v>
      </c>
    </row>
    <row r="25" spans="1:9" s="47" customFormat="1">
      <c r="A25" s="86">
        <v>0.05</v>
      </c>
      <c r="B25" s="86">
        <v>0.05</v>
      </c>
      <c r="C25" s="84" t="s">
        <v>31</v>
      </c>
      <c r="D25" s="108">
        <v>655</v>
      </c>
      <c r="E25" s="108">
        <f>1157-D25</f>
        <v>502</v>
      </c>
      <c r="F25" s="108">
        <f>1407-E25</f>
        <v>905</v>
      </c>
      <c r="G25" s="108">
        <f>2403-F25</f>
        <v>1498</v>
      </c>
      <c r="H25" s="85">
        <f t="shared" si="0"/>
        <v>3560</v>
      </c>
      <c r="I25" s="47" t="s">
        <v>0</v>
      </c>
    </row>
    <row r="26" spans="1:9" s="47" customFormat="1">
      <c r="A26" s="90">
        <v>3.5000000000000003E-2</v>
      </c>
      <c r="B26" s="90">
        <v>3.5000000000000003E-2</v>
      </c>
      <c r="C26" s="84" t="s">
        <v>73</v>
      </c>
      <c r="D26" s="108">
        <v>1714</v>
      </c>
      <c r="E26" s="108">
        <f>3249-D26</f>
        <v>1535</v>
      </c>
      <c r="F26" s="108">
        <f>4286-E26</f>
        <v>2751</v>
      </c>
      <c r="G26" s="108">
        <f>5950-F26</f>
        <v>3199</v>
      </c>
      <c r="H26" s="85">
        <f t="shared" si="0"/>
        <v>9199</v>
      </c>
    </row>
    <row r="27" spans="1:9" s="47" customFormat="1">
      <c r="A27" s="81" t="s">
        <v>22</v>
      </c>
      <c r="B27" s="81" t="s">
        <v>22</v>
      </c>
      <c r="C27" s="84" t="s">
        <v>32</v>
      </c>
      <c r="D27" s="108">
        <v>1489</v>
      </c>
      <c r="E27" s="83">
        <f>8493-D27</f>
        <v>7004</v>
      </c>
      <c r="F27" s="108">
        <v>6758</v>
      </c>
      <c r="G27" s="108">
        <v>9705</v>
      </c>
      <c r="H27" s="85">
        <f t="shared" si="0"/>
        <v>24956</v>
      </c>
    </row>
    <row r="28" spans="1:9" s="47" customFormat="1">
      <c r="A28" s="91" t="s">
        <v>16</v>
      </c>
      <c r="B28" s="91" t="s">
        <v>16</v>
      </c>
      <c r="C28" s="92" t="s">
        <v>79</v>
      </c>
      <c r="D28" s="106">
        <v>104047</v>
      </c>
      <c r="E28" s="83">
        <f>198592-D28</f>
        <v>94545</v>
      </c>
      <c r="F28" s="108">
        <f>305015-E28</f>
        <v>210470</v>
      </c>
      <c r="G28" s="83">
        <f>409310-F28</f>
        <v>198840</v>
      </c>
      <c r="H28" s="85">
        <f t="shared" si="0"/>
        <v>607902</v>
      </c>
    </row>
    <row r="29" spans="1:9" s="47" customFormat="1">
      <c r="A29" s="81" t="s">
        <v>22</v>
      </c>
      <c r="B29" s="81" t="s">
        <v>22</v>
      </c>
      <c r="C29" s="84" t="s">
        <v>33</v>
      </c>
      <c r="D29" s="83">
        <v>15724</v>
      </c>
      <c r="E29" s="83">
        <f>22682-D29</f>
        <v>6958</v>
      </c>
      <c r="F29" s="83">
        <f>27738-E29</f>
        <v>20780</v>
      </c>
      <c r="G29" s="83">
        <f>32434-F29</f>
        <v>11654</v>
      </c>
      <c r="H29" s="85">
        <f t="shared" si="0"/>
        <v>55116</v>
      </c>
    </row>
    <row r="30" spans="1:9" s="47" customFormat="1">
      <c r="A30" s="86">
        <v>0.05</v>
      </c>
      <c r="B30" s="86">
        <v>0.05</v>
      </c>
      <c r="C30" s="84" t="s">
        <v>71</v>
      </c>
      <c r="D30" s="83">
        <v>12053.79</v>
      </c>
      <c r="E30" s="83">
        <f>20415.54-D30</f>
        <v>8361.75</v>
      </c>
      <c r="F30" s="108">
        <f>24626-E30</f>
        <v>16264.25</v>
      </c>
      <c r="G30" s="83">
        <f>31113-F30</f>
        <v>14848.75</v>
      </c>
      <c r="H30" s="85">
        <f t="shared" si="0"/>
        <v>51528.54</v>
      </c>
    </row>
    <row r="31" spans="1:9" s="47" customFormat="1">
      <c r="A31" s="86">
        <v>0.05</v>
      </c>
      <c r="B31" s="86">
        <v>0.05</v>
      </c>
      <c r="C31" s="84" t="s">
        <v>34</v>
      </c>
      <c r="D31" s="108">
        <v>13668</v>
      </c>
      <c r="E31" s="108">
        <f>32253-D31</f>
        <v>18585</v>
      </c>
      <c r="F31" s="108">
        <f>35674-E31</f>
        <v>17089</v>
      </c>
      <c r="G31" s="108">
        <f>37009-F31</f>
        <v>19920</v>
      </c>
      <c r="H31" s="85">
        <f t="shared" si="0"/>
        <v>69262</v>
      </c>
    </row>
    <row r="32" spans="1:9" s="47" customFormat="1" ht="15.6">
      <c r="A32" s="81" t="s">
        <v>16</v>
      </c>
      <c r="B32" s="81" t="s">
        <v>16</v>
      </c>
      <c r="C32" s="84" t="s">
        <v>35</v>
      </c>
      <c r="D32" s="107">
        <v>300793</v>
      </c>
      <c r="E32" s="83">
        <f>616445-D32</f>
        <v>315652</v>
      </c>
      <c r="F32" s="83">
        <f>892614-E32</f>
        <v>576962</v>
      </c>
      <c r="G32" s="83">
        <f>1235675-F32</f>
        <v>658713</v>
      </c>
      <c r="H32" s="85">
        <f t="shared" si="0"/>
        <v>1852120</v>
      </c>
    </row>
    <row r="33" spans="1:8" s="47" customFormat="1">
      <c r="A33" s="81" t="s">
        <v>16</v>
      </c>
      <c r="B33" s="81" t="s">
        <v>16</v>
      </c>
      <c r="C33" s="84" t="s">
        <v>36</v>
      </c>
      <c r="D33" s="83">
        <v>7276</v>
      </c>
      <c r="E33" s="83">
        <f>15095-D33</f>
        <v>7819</v>
      </c>
      <c r="F33" s="83">
        <f>18507-E33</f>
        <v>10688</v>
      </c>
      <c r="G33" s="83">
        <f>25941-F33</f>
        <v>15253</v>
      </c>
      <c r="H33" s="85">
        <f t="shared" si="0"/>
        <v>41036</v>
      </c>
    </row>
    <row r="34" spans="1:8" s="47" customFormat="1">
      <c r="A34" s="81" t="s">
        <v>16</v>
      </c>
      <c r="B34" s="81" t="s">
        <v>16</v>
      </c>
      <c r="C34" s="84" t="s">
        <v>37</v>
      </c>
      <c r="D34" s="108">
        <v>287145</v>
      </c>
      <c r="E34" s="108">
        <f>811736-D34</f>
        <v>524591</v>
      </c>
      <c r="F34" s="108">
        <f>1041638-E34</f>
        <v>517047</v>
      </c>
      <c r="G34" s="108">
        <f>1384599-F34</f>
        <v>867552</v>
      </c>
      <c r="H34" s="85">
        <f t="shared" si="0"/>
        <v>2196335</v>
      </c>
    </row>
    <row r="35" spans="1:8" s="47" customFormat="1">
      <c r="A35" s="81" t="s">
        <v>16</v>
      </c>
      <c r="B35" s="81" t="s">
        <v>16</v>
      </c>
      <c r="C35" s="84" t="s">
        <v>38</v>
      </c>
      <c r="D35" s="83">
        <v>120168</v>
      </c>
      <c r="E35" s="83">
        <f>202172-D35</f>
        <v>82004</v>
      </c>
      <c r="F35" s="83">
        <f>294382-E35</f>
        <v>212378</v>
      </c>
      <c r="G35" s="83">
        <f>402436-F35</f>
        <v>190058</v>
      </c>
      <c r="H35" s="85">
        <f t="shared" si="0"/>
        <v>604608</v>
      </c>
    </row>
    <row r="36" spans="1:8" s="47" customFormat="1">
      <c r="A36" s="81" t="s">
        <v>22</v>
      </c>
      <c r="B36" s="81" t="s">
        <v>22</v>
      </c>
      <c r="C36" s="84" t="s">
        <v>39</v>
      </c>
      <c r="D36" s="83">
        <v>66.98</v>
      </c>
      <c r="E36" s="83">
        <f>418.13-D36</f>
        <v>351.15</v>
      </c>
      <c r="F36" s="83">
        <f>742.27-E36</f>
        <v>391.12</v>
      </c>
      <c r="G36" s="108">
        <f>1066-F36</f>
        <v>674.88</v>
      </c>
      <c r="H36" s="85">
        <f t="shared" si="0"/>
        <v>1484.13</v>
      </c>
    </row>
    <row r="37" spans="1:8" s="47" customFormat="1">
      <c r="A37" s="86">
        <v>0.05</v>
      </c>
      <c r="B37" s="86">
        <v>0.05</v>
      </c>
      <c r="C37" s="84" t="s">
        <v>40</v>
      </c>
      <c r="D37" s="83">
        <v>290957</v>
      </c>
      <c r="E37" s="83">
        <f>589063-D37</f>
        <v>298106</v>
      </c>
      <c r="F37" s="108">
        <f>907979-E37</f>
        <v>609873</v>
      </c>
      <c r="G37" s="83">
        <f>1239044-F37</f>
        <v>629171</v>
      </c>
      <c r="H37" s="85">
        <f t="shared" si="0"/>
        <v>1828107</v>
      </c>
    </row>
    <row r="38" spans="1:8" s="47" customFormat="1">
      <c r="A38" s="86">
        <v>0.03</v>
      </c>
      <c r="B38" s="86">
        <v>0.03</v>
      </c>
      <c r="C38" s="84" t="s">
        <v>41</v>
      </c>
      <c r="D38" s="108">
        <v>1219</v>
      </c>
      <c r="E38" s="83">
        <f>2166-D38</f>
        <v>947</v>
      </c>
      <c r="F38" s="108">
        <f>2635-E38</f>
        <v>1688</v>
      </c>
      <c r="G38" s="83">
        <f>3423-F38</f>
        <v>1735</v>
      </c>
      <c r="H38" s="85">
        <f t="shared" si="0"/>
        <v>5589</v>
      </c>
    </row>
    <row r="39" spans="1:8" s="47" customFormat="1">
      <c r="A39" s="81" t="s">
        <v>16</v>
      </c>
      <c r="B39" s="81" t="s">
        <v>16</v>
      </c>
      <c r="C39" s="84" t="s">
        <v>42</v>
      </c>
      <c r="D39" s="108">
        <v>3370</v>
      </c>
      <c r="E39" s="83">
        <f>6908-D39</f>
        <v>3538</v>
      </c>
      <c r="F39" s="83">
        <f>8894-E39</f>
        <v>5356</v>
      </c>
      <c r="G39" s="108">
        <f>12496-F39</f>
        <v>7140</v>
      </c>
      <c r="H39" s="85">
        <f t="shared" si="0"/>
        <v>19404</v>
      </c>
    </row>
    <row r="40" spans="1:8" s="47" customFormat="1">
      <c r="A40" s="81" t="s">
        <v>16</v>
      </c>
      <c r="B40" s="81" t="s">
        <v>16</v>
      </c>
      <c r="C40" s="84" t="s">
        <v>43</v>
      </c>
      <c r="D40" s="108">
        <v>482662</v>
      </c>
      <c r="E40" s="108">
        <f>977411-D40</f>
        <v>494749</v>
      </c>
      <c r="F40" s="108">
        <f>1423284-E40</f>
        <v>928535</v>
      </c>
      <c r="G40" s="108">
        <f>1990946-F40</f>
        <v>1062411</v>
      </c>
      <c r="H40" s="85">
        <f t="shared" si="0"/>
        <v>2968357</v>
      </c>
    </row>
    <row r="41" spans="1:8" s="47" customFormat="1">
      <c r="A41" s="81" t="s">
        <v>111</v>
      </c>
      <c r="B41" s="143">
        <v>2.5</v>
      </c>
      <c r="C41" s="84" t="s">
        <v>142</v>
      </c>
      <c r="D41" s="108">
        <v>328413</v>
      </c>
      <c r="E41" s="108">
        <f>647491.91-D41</f>
        <v>319078.91000000003</v>
      </c>
      <c r="F41" s="108">
        <f>944207.9-E41</f>
        <v>625128.99</v>
      </c>
      <c r="G41" s="108">
        <f>1315370-F41</f>
        <v>690241.01</v>
      </c>
      <c r="H41" s="85">
        <f t="shared" si="0"/>
        <v>1962861.91</v>
      </c>
    </row>
    <row r="42" spans="1:8" s="47" customFormat="1">
      <c r="A42" s="81" t="s">
        <v>27</v>
      </c>
      <c r="B42" s="81" t="s">
        <v>27</v>
      </c>
      <c r="C42" s="84" t="s">
        <v>44</v>
      </c>
      <c r="D42" s="83">
        <v>82835</v>
      </c>
      <c r="E42" s="83">
        <f>133991-D42</f>
        <v>51156</v>
      </c>
      <c r="F42" s="108">
        <f>183267-E42</f>
        <v>132111</v>
      </c>
      <c r="G42" s="108">
        <f>242320-F42</f>
        <v>110209</v>
      </c>
      <c r="H42" s="85">
        <f t="shared" si="0"/>
        <v>376311</v>
      </c>
    </row>
    <row r="43" spans="1:8" s="47" customFormat="1">
      <c r="A43" s="81" t="s">
        <v>22</v>
      </c>
      <c r="B43" s="81" t="s">
        <v>22</v>
      </c>
      <c r="C43" s="84" t="s">
        <v>45</v>
      </c>
      <c r="D43" s="83">
        <v>3305</v>
      </c>
      <c r="E43" s="83">
        <f>6022-D43</f>
        <v>2717</v>
      </c>
      <c r="F43" s="83">
        <f>6969-E43</f>
        <v>4252</v>
      </c>
      <c r="G43" s="83">
        <f>9400-F43</f>
        <v>5148</v>
      </c>
      <c r="H43" s="85">
        <f t="shared" si="0"/>
        <v>15422</v>
      </c>
    </row>
    <row r="44" spans="1:8" s="47" customFormat="1">
      <c r="A44" s="81" t="s">
        <v>16</v>
      </c>
      <c r="B44" s="81" t="s">
        <v>16</v>
      </c>
      <c r="C44" s="84" t="s">
        <v>46</v>
      </c>
      <c r="D44" s="108">
        <v>54494.65</v>
      </c>
      <c r="E44" s="108">
        <f>116507-D44</f>
        <v>62012.35</v>
      </c>
      <c r="F44" s="108">
        <f>174155-E44</f>
        <v>112142.65</v>
      </c>
      <c r="G44" s="108">
        <f>222635-F44</f>
        <v>110492.35</v>
      </c>
      <c r="H44" s="85">
        <f t="shared" si="0"/>
        <v>339142</v>
      </c>
    </row>
    <row r="45" spans="1:8" s="47" customFormat="1">
      <c r="A45" s="81" t="s">
        <v>27</v>
      </c>
      <c r="B45" s="81" t="s">
        <v>27</v>
      </c>
      <c r="C45" s="84" t="s">
        <v>48</v>
      </c>
      <c r="D45" s="108">
        <v>22451.41</v>
      </c>
      <c r="E45" s="108">
        <v>24281.01</v>
      </c>
      <c r="F45" s="108">
        <v>39994.85</v>
      </c>
      <c r="G45" s="83">
        <v>47688.75</v>
      </c>
      <c r="H45" s="85">
        <f t="shared" si="0"/>
        <v>134416.01999999999</v>
      </c>
    </row>
    <row r="46" spans="1:8" s="47" customFormat="1">
      <c r="A46" s="91" t="s">
        <v>16</v>
      </c>
      <c r="B46" s="91" t="s">
        <v>16</v>
      </c>
      <c r="C46" s="84" t="s">
        <v>49</v>
      </c>
      <c r="D46" s="83">
        <v>17222.919999999998</v>
      </c>
      <c r="E46" s="83">
        <f>39350-D46</f>
        <v>22127.08</v>
      </c>
      <c r="F46" s="83">
        <f>55472-E46</f>
        <v>33344.92</v>
      </c>
      <c r="G46" s="108">
        <f>73421-F46</f>
        <v>40076.080000000002</v>
      </c>
      <c r="H46" s="85">
        <f t="shared" si="0"/>
        <v>112771</v>
      </c>
    </row>
    <row r="47" spans="1:8" s="47" customFormat="1">
      <c r="A47" s="86">
        <v>0.04</v>
      </c>
      <c r="B47" s="86">
        <v>0.04</v>
      </c>
      <c r="C47" s="84" t="s">
        <v>50</v>
      </c>
      <c r="D47" s="108">
        <v>645.07000000000005</v>
      </c>
      <c r="E47" s="83">
        <f>2252.54-D47</f>
        <v>1607.4699999999998</v>
      </c>
      <c r="F47" s="108">
        <f>1707.67+1328.23-E47</f>
        <v>1428.4300000000003</v>
      </c>
      <c r="G47" s="83">
        <f>3751.25-F47</f>
        <v>2322.8199999999997</v>
      </c>
      <c r="H47" s="85">
        <f t="shared" si="0"/>
        <v>6003.79</v>
      </c>
    </row>
    <row r="48" spans="1:8" s="47" customFormat="1">
      <c r="A48" s="81" t="s">
        <v>16</v>
      </c>
      <c r="B48" s="81" t="s">
        <v>16</v>
      </c>
      <c r="C48" s="84" t="s">
        <v>116</v>
      </c>
      <c r="D48" s="108">
        <v>818</v>
      </c>
      <c r="E48" s="108">
        <f>2081.85-D48</f>
        <v>1263.8499999999999</v>
      </c>
      <c r="F48" s="110">
        <f>3317-E48</f>
        <v>2053.15</v>
      </c>
      <c r="G48" s="108">
        <f>4393.54-F48</f>
        <v>2340.39</v>
      </c>
      <c r="H48" s="85">
        <f t="shared" si="0"/>
        <v>6475.3899999999994</v>
      </c>
    </row>
    <row r="49" spans="1:10" s="47" customFormat="1">
      <c r="A49" s="81" t="s">
        <v>22</v>
      </c>
      <c r="B49" s="81" t="s">
        <v>22</v>
      </c>
      <c r="C49" s="84" t="s">
        <v>51</v>
      </c>
      <c r="D49" s="83">
        <v>965</v>
      </c>
      <c r="E49" s="83">
        <f>1924-D49</f>
        <v>959</v>
      </c>
      <c r="F49" s="83">
        <f>2504-E49</f>
        <v>1545</v>
      </c>
      <c r="G49" s="108">
        <f>2970-F49</f>
        <v>1425</v>
      </c>
      <c r="H49" s="85">
        <f t="shared" si="0"/>
        <v>4894</v>
      </c>
    </row>
    <row r="50" spans="1:10" s="47" customFormat="1">
      <c r="A50" s="81" t="s">
        <v>16</v>
      </c>
      <c r="B50" s="81" t="s">
        <v>16</v>
      </c>
      <c r="C50" s="84" t="s">
        <v>52</v>
      </c>
      <c r="D50" s="108">
        <v>37544</v>
      </c>
      <c r="E50" s="83">
        <f>71559-D50</f>
        <v>34015</v>
      </c>
      <c r="F50" s="83">
        <f>100778-E50</f>
        <v>66763</v>
      </c>
      <c r="G50" s="83">
        <f>159147-F50</f>
        <v>92384</v>
      </c>
      <c r="H50" s="85">
        <f t="shared" si="0"/>
        <v>230706</v>
      </c>
    </row>
    <row r="51" spans="1:10" s="47" customFormat="1">
      <c r="A51" s="81" t="s">
        <v>22</v>
      </c>
      <c r="B51" s="81" t="s">
        <v>22</v>
      </c>
      <c r="C51" s="84" t="s">
        <v>53</v>
      </c>
      <c r="D51" s="108">
        <v>994</v>
      </c>
      <c r="E51" s="83">
        <f>1877-D51</f>
        <v>883</v>
      </c>
      <c r="F51" s="108">
        <f>2373-E51</f>
        <v>1490</v>
      </c>
      <c r="G51" s="83">
        <f>3318-F51</f>
        <v>1828</v>
      </c>
      <c r="H51" s="85">
        <f t="shared" si="0"/>
        <v>5195</v>
      </c>
    </row>
    <row r="52" spans="1:10" s="47" customFormat="1">
      <c r="A52" s="81" t="s">
        <v>16</v>
      </c>
      <c r="B52" s="81" t="s">
        <v>16</v>
      </c>
      <c r="C52" s="84" t="s">
        <v>54</v>
      </c>
      <c r="D52" s="83">
        <v>28625</v>
      </c>
      <c r="E52" s="83">
        <f>53648.15-D52</f>
        <v>25023.15</v>
      </c>
      <c r="F52" s="83">
        <f>74162.49-E52</f>
        <v>49139.340000000004</v>
      </c>
      <c r="G52" s="83">
        <f>103331.25-F52</f>
        <v>54191.909999999996</v>
      </c>
      <c r="H52" s="85">
        <f t="shared" si="0"/>
        <v>156979.4</v>
      </c>
    </row>
    <row r="53" spans="1:10" s="47" customFormat="1">
      <c r="A53" s="81" t="s">
        <v>16</v>
      </c>
      <c r="B53" s="81" t="s">
        <v>16</v>
      </c>
      <c r="C53" s="84" t="s">
        <v>55</v>
      </c>
      <c r="D53" s="108">
        <v>148817</v>
      </c>
      <c r="E53" s="108">
        <f>222416-D53</f>
        <v>73599</v>
      </c>
      <c r="F53" s="83">
        <f>266606-E53</f>
        <v>193007</v>
      </c>
      <c r="G53" s="83">
        <f>331277-F53</f>
        <v>138270</v>
      </c>
      <c r="H53" s="85">
        <f t="shared" si="0"/>
        <v>553693</v>
      </c>
    </row>
    <row r="54" spans="1:10" s="47" customFormat="1">
      <c r="A54" s="81" t="s">
        <v>16</v>
      </c>
      <c r="B54" s="81" t="s">
        <v>16</v>
      </c>
      <c r="C54" s="84" t="s">
        <v>56</v>
      </c>
      <c r="D54" s="83">
        <v>216744</v>
      </c>
      <c r="E54" s="108">
        <f>299578-D54</f>
        <v>82834</v>
      </c>
      <c r="F54" s="83">
        <f>460505-E54</f>
        <v>377671</v>
      </c>
      <c r="G54" s="83">
        <f>549950-F54</f>
        <v>172279</v>
      </c>
      <c r="H54" s="85">
        <f t="shared" si="0"/>
        <v>849528</v>
      </c>
      <c r="I54" s="51"/>
    </row>
    <row r="55" spans="1:10" s="47" customFormat="1">
      <c r="A55" s="81"/>
      <c r="B55" s="86">
        <v>0.05</v>
      </c>
      <c r="C55" s="84" t="s">
        <v>126</v>
      </c>
      <c r="D55" s="83">
        <v>752.4</v>
      </c>
      <c r="E55" s="108">
        <f>1595.46-D55</f>
        <v>843.06000000000006</v>
      </c>
      <c r="F55" s="83">
        <f>2064.02-E55</f>
        <v>1220.96</v>
      </c>
      <c r="G55" s="83">
        <f>3538.03-F55</f>
        <v>2317.0700000000002</v>
      </c>
      <c r="H55" s="85">
        <f>G55+F55+E55+D55</f>
        <v>5133.49</v>
      </c>
      <c r="I55" s="51"/>
    </row>
    <row r="56" spans="1:10" s="47" customFormat="1">
      <c r="A56" s="86">
        <v>0.05</v>
      </c>
      <c r="B56" s="81" t="s">
        <v>16</v>
      </c>
      <c r="C56" s="84" t="s">
        <v>57</v>
      </c>
      <c r="D56" s="108">
        <v>93540</v>
      </c>
      <c r="E56" s="83">
        <f>183593-D56</f>
        <v>90053</v>
      </c>
      <c r="F56" s="83">
        <f>247323-E56</f>
        <v>157270</v>
      </c>
      <c r="G56" s="108">
        <f>330542-F56</f>
        <v>173272</v>
      </c>
      <c r="H56" s="85">
        <f t="shared" si="0"/>
        <v>514135</v>
      </c>
    </row>
    <row r="57" spans="1:10" s="47" customFormat="1">
      <c r="A57" s="81" t="s">
        <v>16</v>
      </c>
      <c r="B57" s="93" t="s">
        <v>16</v>
      </c>
      <c r="C57" s="84" t="s">
        <v>58</v>
      </c>
      <c r="D57" s="83">
        <v>238494</v>
      </c>
      <c r="E57" s="83">
        <f>463520-D57</f>
        <v>225026</v>
      </c>
      <c r="F57" s="83">
        <f>656105-E57</f>
        <v>431079</v>
      </c>
      <c r="G57" s="83">
        <f>896640-F57</f>
        <v>465561</v>
      </c>
      <c r="H57" s="85">
        <f t="shared" si="0"/>
        <v>1360160</v>
      </c>
    </row>
    <row r="58" spans="1:10" s="47" customFormat="1">
      <c r="A58" s="93" t="s">
        <v>16</v>
      </c>
      <c r="B58" s="81" t="s">
        <v>16</v>
      </c>
      <c r="C58" s="84" t="s">
        <v>59</v>
      </c>
      <c r="D58" s="83">
        <v>505990</v>
      </c>
      <c r="E58" s="83">
        <f>757748-D58</f>
        <v>251758</v>
      </c>
      <c r="F58" s="83">
        <f>1064800-E58</f>
        <v>813042</v>
      </c>
      <c r="G58" s="83">
        <f>1280035-F58</f>
        <v>466993</v>
      </c>
      <c r="H58" s="85">
        <f t="shared" si="0"/>
        <v>2037783</v>
      </c>
    </row>
    <row r="59" spans="1:10" s="47" customFormat="1">
      <c r="A59" s="81" t="s">
        <v>16</v>
      </c>
      <c r="B59" s="86">
        <v>0.05</v>
      </c>
      <c r="C59" s="84" t="s">
        <v>60</v>
      </c>
      <c r="D59" s="108">
        <v>169515</v>
      </c>
      <c r="E59" s="83">
        <v>105754</v>
      </c>
      <c r="F59" s="83">
        <v>121409</v>
      </c>
      <c r="G59" s="83">
        <v>173576</v>
      </c>
      <c r="H59" s="85">
        <f t="shared" si="0"/>
        <v>570254</v>
      </c>
    </row>
    <row r="60" spans="1:10" s="47" customFormat="1">
      <c r="A60" s="86">
        <v>0.04</v>
      </c>
      <c r="B60" s="86">
        <v>0.02</v>
      </c>
      <c r="C60" s="94" t="s">
        <v>78</v>
      </c>
      <c r="D60" s="108">
        <v>1602057</v>
      </c>
      <c r="E60" s="108">
        <f>2731028-D60</f>
        <v>1128971</v>
      </c>
      <c r="F60" s="108">
        <f>4177578-E60</f>
        <v>3048607</v>
      </c>
      <c r="G60" s="108">
        <f>5480915-F60</f>
        <v>2432308</v>
      </c>
      <c r="H60" s="136">
        <f t="shared" si="0"/>
        <v>8211943</v>
      </c>
      <c r="J60" s="47" t="s">
        <v>124</v>
      </c>
    </row>
    <row r="61" spans="1:10" s="47" customFormat="1">
      <c r="A61" s="86">
        <v>0.03</v>
      </c>
      <c r="B61" s="86">
        <v>0.05</v>
      </c>
      <c r="C61" s="94" t="s">
        <v>140</v>
      </c>
      <c r="D61" s="108">
        <v>1201543</v>
      </c>
      <c r="E61" s="108">
        <f>2048271-D61</f>
        <v>846728</v>
      </c>
      <c r="F61" s="108">
        <v>1706335</v>
      </c>
      <c r="G61" s="108">
        <f>5946974-F61</f>
        <v>4240639</v>
      </c>
      <c r="H61" s="136">
        <f t="shared" si="0"/>
        <v>7995245</v>
      </c>
      <c r="J61" s="47" t="s">
        <v>125</v>
      </c>
    </row>
    <row r="62" spans="1:10" s="47" customFormat="1">
      <c r="A62" s="86">
        <v>0.05</v>
      </c>
      <c r="B62" s="81" t="s">
        <v>16</v>
      </c>
      <c r="C62" s="84" t="s">
        <v>61</v>
      </c>
      <c r="D62" s="108">
        <v>126849.19</v>
      </c>
      <c r="E62" s="83">
        <f>233084.47-D62</f>
        <v>106235.28</v>
      </c>
      <c r="F62" s="108">
        <f>318308.51-E62</f>
        <v>212073.23</v>
      </c>
      <c r="G62" s="83">
        <f>440857.65-F62</f>
        <v>228784.42</v>
      </c>
      <c r="H62" s="85">
        <f t="shared" si="0"/>
        <v>673942.12</v>
      </c>
    </row>
    <row r="63" spans="1:10" s="47" customFormat="1">
      <c r="A63" s="81" t="s">
        <v>16</v>
      </c>
      <c r="B63" s="86">
        <v>0.05</v>
      </c>
      <c r="C63" s="84" t="s">
        <v>62</v>
      </c>
      <c r="D63" s="83">
        <v>77652</v>
      </c>
      <c r="E63" s="83">
        <f>134655-D63</f>
        <v>57003</v>
      </c>
      <c r="F63" s="83">
        <f>179990-E63</f>
        <v>122987</v>
      </c>
      <c r="G63" s="83">
        <f>252208-F63</f>
        <v>129221</v>
      </c>
      <c r="H63" s="85">
        <f t="shared" si="0"/>
        <v>386863</v>
      </c>
    </row>
    <row r="64" spans="1:10" s="47" customFormat="1">
      <c r="A64" s="86">
        <v>0.05</v>
      </c>
      <c r="B64" s="81" t="s">
        <v>22</v>
      </c>
      <c r="C64" s="84" t="s">
        <v>63</v>
      </c>
      <c r="D64" s="108">
        <v>82389</v>
      </c>
      <c r="E64" s="108">
        <f>178219-D64</f>
        <v>95830</v>
      </c>
      <c r="F64" s="108">
        <f>252295-E64</f>
        <v>156465</v>
      </c>
      <c r="G64" s="83">
        <f>346325-F64</f>
        <v>189860</v>
      </c>
      <c r="H64" s="85">
        <f t="shared" si="0"/>
        <v>524544</v>
      </c>
    </row>
    <row r="65" spans="1:12" s="47" customFormat="1">
      <c r="A65" s="81" t="s">
        <v>22</v>
      </c>
      <c r="B65" s="86">
        <v>0.05</v>
      </c>
      <c r="C65" s="84" t="s">
        <v>64</v>
      </c>
      <c r="D65" s="108">
        <v>1650</v>
      </c>
      <c r="E65" s="108">
        <f>3118-D65</f>
        <v>1468</v>
      </c>
      <c r="F65" s="108">
        <f>4218-E65</f>
        <v>2750</v>
      </c>
      <c r="G65" s="108">
        <f>4387-F65</f>
        <v>1637</v>
      </c>
      <c r="H65" s="85">
        <f t="shared" si="0"/>
        <v>7505</v>
      </c>
    </row>
    <row r="66" spans="1:12" s="47" customFormat="1">
      <c r="A66" s="86">
        <v>0.05</v>
      </c>
      <c r="B66" s="91" t="s">
        <v>16</v>
      </c>
      <c r="C66" s="84" t="s">
        <v>65</v>
      </c>
      <c r="D66" s="108">
        <v>335383</v>
      </c>
      <c r="E66" s="83">
        <f>540040-D66</f>
        <v>204657</v>
      </c>
      <c r="F66" s="83">
        <f>702626-E66</f>
        <v>497969</v>
      </c>
      <c r="G66" s="83">
        <f>893205-F66</f>
        <v>395236</v>
      </c>
      <c r="H66" s="85">
        <f t="shared" si="0"/>
        <v>1433245</v>
      </c>
    </row>
    <row r="67" spans="1:12" s="47" customFormat="1">
      <c r="A67" s="91" t="s">
        <v>16</v>
      </c>
      <c r="B67" s="81" t="s">
        <v>16</v>
      </c>
      <c r="C67" s="84" t="s">
        <v>66</v>
      </c>
      <c r="D67" s="108">
        <v>17592</v>
      </c>
      <c r="E67" s="83">
        <f>49150-D67</f>
        <v>31558</v>
      </c>
      <c r="F67" s="83">
        <f>227338-E67</f>
        <v>195780</v>
      </c>
      <c r="G67" s="83">
        <f>311954-F67</f>
        <v>116174</v>
      </c>
      <c r="H67" s="85">
        <f t="shared" si="0"/>
        <v>361104</v>
      </c>
    </row>
    <row r="68" spans="1:12" s="47" customFormat="1">
      <c r="A68" s="81" t="s">
        <v>16</v>
      </c>
      <c r="B68" s="81" t="s">
        <v>16</v>
      </c>
      <c r="C68" s="84" t="s">
        <v>67</v>
      </c>
      <c r="D68" s="108">
        <v>49824</v>
      </c>
      <c r="E68" s="108">
        <f>96175-D68</f>
        <v>46351</v>
      </c>
      <c r="F68" s="108">
        <f>137385-E68</f>
        <v>91034</v>
      </c>
      <c r="G68" s="108">
        <f>186952-F68</f>
        <v>95918</v>
      </c>
      <c r="H68" s="85">
        <f t="shared" si="0"/>
        <v>283127</v>
      </c>
      <c r="L68" s="47" t="s">
        <v>0</v>
      </c>
    </row>
    <row r="69" spans="1:12" s="47" customFormat="1">
      <c r="A69" s="81" t="s">
        <v>16</v>
      </c>
      <c r="B69" s="91" t="s">
        <v>16</v>
      </c>
      <c r="C69" s="84" t="s">
        <v>68</v>
      </c>
      <c r="D69" s="108">
        <v>126690</v>
      </c>
      <c r="E69" s="108">
        <f>254108-D69</f>
        <v>127418</v>
      </c>
      <c r="F69" s="108">
        <f>378972-E69</f>
        <v>251554</v>
      </c>
      <c r="G69" s="108">
        <f>485544-F69</f>
        <v>233990</v>
      </c>
      <c r="H69" s="85">
        <f t="shared" si="0"/>
        <v>739652</v>
      </c>
      <c r="L69" s="47" t="s">
        <v>0</v>
      </c>
    </row>
    <row r="70" spans="1:12" s="47" customFormat="1">
      <c r="A70" s="91" t="s">
        <v>16</v>
      </c>
      <c r="B70" s="81" t="s">
        <v>22</v>
      </c>
      <c r="C70" s="84" t="s">
        <v>81</v>
      </c>
      <c r="D70" s="108">
        <v>59556</v>
      </c>
      <c r="E70" s="108">
        <f>72792-D70</f>
        <v>13236</v>
      </c>
      <c r="F70" s="83">
        <f>84769-E70</f>
        <v>71533</v>
      </c>
      <c r="G70" s="108">
        <f>97903-F70</f>
        <v>26370</v>
      </c>
      <c r="H70" s="85">
        <f t="shared" si="0"/>
        <v>170695</v>
      </c>
    </row>
    <row r="71" spans="1:12" s="47" customFormat="1">
      <c r="A71" s="81" t="s">
        <v>22</v>
      </c>
      <c r="B71" s="77"/>
      <c r="C71" s="84" t="s">
        <v>69</v>
      </c>
      <c r="D71" s="87">
        <v>704.48</v>
      </c>
      <c r="E71" s="108">
        <v>538.9</v>
      </c>
      <c r="F71" s="108">
        <v>491.46</v>
      </c>
      <c r="G71" s="108">
        <f>2424.71-F71</f>
        <v>1933.25</v>
      </c>
      <c r="H71" s="85">
        <f t="shared" si="0"/>
        <v>3668.09</v>
      </c>
    </row>
    <row r="72" spans="1:12" s="47" customFormat="1" ht="14.4" thickBot="1">
      <c r="A72" s="48"/>
      <c r="B72" s="77"/>
      <c r="C72" s="95" t="s">
        <v>70</v>
      </c>
      <c r="D72" s="95">
        <f>SUM(D8:D71)</f>
        <v>11423337.340000002</v>
      </c>
      <c r="E72" s="95">
        <f>SUM(E8:E71)</f>
        <v>9889155.2799999993</v>
      </c>
      <c r="F72" s="96">
        <f>SUM(F8:F71)</f>
        <v>17080603.330000002</v>
      </c>
      <c r="G72" s="95">
        <f>SUM(G8:G71)</f>
        <v>24370571.220000003</v>
      </c>
      <c r="H72" s="85">
        <f t="shared" si="0"/>
        <v>62763667.170000002</v>
      </c>
    </row>
    <row r="73" spans="1:12" s="47" customFormat="1" ht="14.4" thickTop="1">
      <c r="A73" s="52"/>
      <c r="H73" s="49">
        <f>D72+E72+F72+G72</f>
        <v>62763667.170000002</v>
      </c>
    </row>
    <row r="74" spans="1:12" s="47" customFormat="1">
      <c r="A74" s="98" t="s">
        <v>0</v>
      </c>
      <c r="B74" s="71"/>
      <c r="H74" s="49"/>
    </row>
    <row r="75" spans="1:12" s="47" customFormat="1">
      <c r="A75" s="98" t="s">
        <v>0</v>
      </c>
      <c r="B75" s="71"/>
      <c r="C75" s="71"/>
      <c r="H75" s="49"/>
    </row>
    <row r="76" spans="1:12" s="47" customFormat="1">
      <c r="A76" s="98" t="s">
        <v>0</v>
      </c>
      <c r="B76" s="71"/>
      <c r="C76" s="71"/>
      <c r="H76" s="49"/>
    </row>
    <row r="77" spans="1:12" s="47" customFormat="1">
      <c r="A77" s="98"/>
      <c r="B77" s="71"/>
      <c r="C77" s="71"/>
      <c r="H77" s="49"/>
    </row>
    <row r="78" spans="1:12" s="47" customFormat="1">
      <c r="A78" s="98"/>
      <c r="B78" s="71"/>
      <c r="C78" s="71"/>
      <c r="H78" s="49"/>
    </row>
    <row r="79" spans="1:12" s="47" customFormat="1">
      <c r="A79" s="53"/>
      <c r="B79" s="53"/>
      <c r="C79" s="53"/>
      <c r="D79" s="53"/>
      <c r="E79" s="53"/>
      <c r="F79" s="53"/>
      <c r="G79" s="53"/>
      <c r="H79" s="54"/>
    </row>
    <row r="90" spans="1:8">
      <c r="A90" s="71"/>
      <c r="B90" s="71"/>
      <c r="C90" s="71"/>
      <c r="D90" s="71"/>
      <c r="E90" s="71"/>
      <c r="F90" s="71"/>
      <c r="G90" s="71"/>
      <c r="H90" s="71"/>
    </row>
    <row r="91" spans="1:8">
      <c r="A91" s="71"/>
      <c r="B91" s="71"/>
      <c r="C91" s="71"/>
      <c r="D91" s="71"/>
      <c r="E91" s="71"/>
      <c r="F91" s="71"/>
      <c r="G91" s="71"/>
      <c r="H91" s="71"/>
    </row>
    <row r="92" spans="1:8">
      <c r="A92" s="71"/>
      <c r="B92" s="71"/>
      <c r="C92" s="71"/>
      <c r="D92" s="71"/>
      <c r="E92" s="71"/>
      <c r="F92" s="71"/>
      <c r="G92" s="71"/>
      <c r="H92" s="71"/>
    </row>
    <row r="93" spans="1:8">
      <c r="A93" s="71"/>
      <c r="B93" s="71"/>
      <c r="C93" s="71"/>
      <c r="D93" s="71"/>
      <c r="E93" s="71"/>
      <c r="F93" s="71"/>
      <c r="G93" s="71"/>
      <c r="H93" s="71"/>
    </row>
    <row r="94" spans="1:8">
      <c r="A94" s="71"/>
      <c r="B94" s="71"/>
      <c r="C94" s="71"/>
      <c r="D94" s="71"/>
      <c r="E94" s="71"/>
      <c r="F94" s="71"/>
      <c r="G94" s="71"/>
      <c r="H94" s="71"/>
    </row>
    <row r="95" spans="1:8">
      <c r="A95" s="71"/>
      <c r="B95" s="71"/>
      <c r="C95" s="71"/>
      <c r="D95" s="71"/>
      <c r="E95" s="71"/>
      <c r="F95" s="71"/>
      <c r="G95" s="71"/>
      <c r="H95" s="71"/>
    </row>
    <row r="96" spans="1:8">
      <c r="A96" s="71"/>
      <c r="B96" s="71"/>
      <c r="C96" s="71"/>
      <c r="D96" s="71"/>
      <c r="E96" s="71"/>
      <c r="F96" s="71"/>
      <c r="G96" s="71"/>
      <c r="H96" s="71"/>
    </row>
    <row r="97" spans="1:8">
      <c r="A97" s="71"/>
      <c r="B97" s="71"/>
      <c r="C97" s="71"/>
      <c r="D97" s="71"/>
      <c r="E97" s="71"/>
      <c r="F97" s="71"/>
      <c r="G97" s="71"/>
      <c r="H97" s="71"/>
    </row>
    <row r="98" spans="1:8">
      <c r="A98" s="71"/>
      <c r="B98" s="71"/>
      <c r="C98" s="71"/>
      <c r="D98" s="71"/>
      <c r="E98" s="71"/>
      <c r="F98" s="71"/>
      <c r="G98" s="71"/>
      <c r="H98" s="71"/>
    </row>
    <row r="99" spans="1:8">
      <c r="A99" s="71"/>
      <c r="B99" s="71"/>
      <c r="C99" s="71"/>
      <c r="D99" s="71"/>
      <c r="E99" s="71"/>
      <c r="F99" s="71"/>
      <c r="G99" s="71"/>
      <c r="H99" s="71"/>
    </row>
    <row r="100" spans="1:8">
      <c r="A100" s="71"/>
      <c r="B100" s="71"/>
      <c r="C100" s="71"/>
      <c r="D100" s="71"/>
      <c r="E100" s="71"/>
      <c r="F100" s="71"/>
      <c r="G100" s="71"/>
      <c r="H100" s="71"/>
    </row>
    <row r="101" spans="1:8">
      <c r="A101" s="71"/>
      <c r="B101" s="71"/>
      <c r="C101" s="71"/>
      <c r="D101" s="71"/>
      <c r="E101" s="71"/>
      <c r="F101" s="71"/>
      <c r="G101" s="71"/>
      <c r="H101" s="71"/>
    </row>
    <row r="102" spans="1:8">
      <c r="A102" s="71"/>
      <c r="B102" s="71"/>
      <c r="C102" s="71"/>
      <c r="D102" s="71"/>
      <c r="E102" s="71"/>
      <c r="F102" s="71"/>
      <c r="G102" s="71"/>
      <c r="H102" s="71"/>
    </row>
    <row r="103" spans="1:8">
      <c r="A103" s="71"/>
      <c r="B103" s="71"/>
      <c r="C103" s="71"/>
      <c r="D103" s="71"/>
      <c r="E103" s="71"/>
      <c r="F103" s="71"/>
      <c r="G103" s="71"/>
      <c r="H103" s="71"/>
    </row>
    <row r="104" spans="1:8">
      <c r="A104" s="71"/>
      <c r="B104" s="71"/>
      <c r="C104" s="71"/>
      <c r="D104" s="71"/>
      <c r="E104" s="71"/>
      <c r="F104" s="71"/>
      <c r="G104" s="71"/>
      <c r="H104" s="71"/>
    </row>
    <row r="105" spans="1:8">
      <c r="A105" s="71"/>
      <c r="B105" s="71"/>
      <c r="C105" s="71"/>
      <c r="D105" s="71"/>
      <c r="E105" s="71"/>
      <c r="F105" s="71"/>
      <c r="G105" s="71"/>
      <c r="H105" s="71"/>
    </row>
    <row r="106" spans="1:8">
      <c r="A106" s="71"/>
      <c r="B106" s="71"/>
      <c r="C106" s="71"/>
      <c r="D106" s="71"/>
      <c r="E106" s="71"/>
      <c r="F106" s="71"/>
      <c r="G106" s="71"/>
      <c r="H106" s="71"/>
    </row>
    <row r="107" spans="1:8">
      <c r="A107" s="71"/>
      <c r="B107" s="71"/>
      <c r="C107" s="71"/>
      <c r="D107" s="71"/>
      <c r="E107" s="71"/>
      <c r="F107" s="71"/>
      <c r="G107" s="71"/>
      <c r="H107" s="71"/>
    </row>
    <row r="108" spans="1:8">
      <c r="A108" s="71"/>
      <c r="B108" s="71"/>
      <c r="C108" s="71"/>
      <c r="D108" s="71"/>
      <c r="E108" s="71"/>
      <c r="F108" s="71"/>
      <c r="G108" s="71"/>
      <c r="H108" s="71"/>
    </row>
    <row r="109" spans="1:8">
      <c r="A109" s="71"/>
      <c r="B109" s="71"/>
      <c r="C109" s="71"/>
      <c r="D109" s="71"/>
      <c r="E109" s="71"/>
      <c r="F109" s="71"/>
      <c r="G109" s="71"/>
      <c r="H109" s="71"/>
    </row>
    <row r="110" spans="1:8">
      <c r="A110" s="71"/>
      <c r="B110" s="71"/>
      <c r="C110" s="71"/>
      <c r="D110" s="71"/>
      <c r="E110" s="71"/>
      <c r="F110" s="71"/>
      <c r="G110" s="71"/>
      <c r="H110" s="71"/>
    </row>
    <row r="111" spans="1:8">
      <c r="A111" s="71"/>
      <c r="B111" s="71"/>
      <c r="C111" s="71"/>
      <c r="D111" s="71"/>
      <c r="E111" s="71"/>
      <c r="F111" s="71"/>
      <c r="G111" s="71"/>
      <c r="H111" s="71"/>
    </row>
    <row r="112" spans="1:8">
      <c r="A112" s="71"/>
      <c r="B112" s="71"/>
      <c r="C112" s="71"/>
      <c r="D112" s="71"/>
      <c r="E112" s="71"/>
      <c r="F112" s="71"/>
      <c r="G112" s="71"/>
      <c r="H112" s="71"/>
    </row>
    <row r="113" spans="1:8">
      <c r="A113" s="71"/>
      <c r="B113" s="71"/>
      <c r="C113" s="71"/>
      <c r="D113" s="71"/>
      <c r="E113" s="71"/>
      <c r="F113" s="71"/>
      <c r="G113" s="71"/>
      <c r="H113" s="71"/>
    </row>
    <row r="114" spans="1:8">
      <c r="A114" s="71"/>
      <c r="B114" s="71"/>
      <c r="C114" s="71"/>
      <c r="D114" s="71"/>
      <c r="E114" s="71"/>
      <c r="F114" s="71"/>
      <c r="G114" s="71"/>
      <c r="H114" s="71"/>
    </row>
    <row r="115" spans="1:8">
      <c r="A115" s="71"/>
      <c r="B115" s="71"/>
      <c r="C115" s="71"/>
      <c r="D115" s="71"/>
      <c r="E115" s="71"/>
      <c r="F115" s="71"/>
      <c r="G115" s="71"/>
      <c r="H115" s="71"/>
    </row>
    <row r="116" spans="1:8">
      <c r="A116" s="71"/>
      <c r="B116" s="71"/>
      <c r="C116" s="71"/>
      <c r="D116" s="71"/>
      <c r="E116" s="71"/>
      <c r="F116" s="71"/>
      <c r="G116" s="71"/>
      <c r="H116" s="71"/>
    </row>
    <row r="117" spans="1:8">
      <c r="A117" s="71"/>
      <c r="B117" s="71"/>
      <c r="C117" s="71"/>
      <c r="D117" s="71"/>
      <c r="E117" s="71"/>
      <c r="F117" s="71"/>
      <c r="G117" s="71"/>
      <c r="H117" s="71"/>
    </row>
    <row r="118" spans="1:8">
      <c r="A118" s="71"/>
      <c r="B118" s="71"/>
      <c r="C118" s="71"/>
      <c r="D118" s="71"/>
      <c r="E118" s="71"/>
      <c r="F118" s="71"/>
      <c r="G118" s="71"/>
      <c r="H118" s="71"/>
    </row>
    <row r="119" spans="1:8">
      <c r="C119" s="99"/>
      <c r="D119" s="99"/>
      <c r="E119" s="99"/>
      <c r="F119" s="99"/>
      <c r="G119" s="99"/>
      <c r="H119" s="99"/>
    </row>
    <row r="121" spans="1:8">
      <c r="A121" s="99"/>
      <c r="B121" s="99"/>
    </row>
    <row r="122" spans="1:8">
      <c r="A122" s="99"/>
      <c r="B122" s="99"/>
      <c r="C122" s="99"/>
    </row>
    <row r="123" spans="1:8">
      <c r="A123" s="99"/>
      <c r="B123" s="99"/>
      <c r="C123" s="99"/>
    </row>
    <row r="124" spans="1:8">
      <c r="A124" s="99"/>
      <c r="B124" s="99"/>
      <c r="C124" s="99"/>
    </row>
    <row r="178" spans="1:8">
      <c r="A178" s="71"/>
      <c r="B178" s="71"/>
      <c r="C178" s="71"/>
      <c r="D178" s="71"/>
      <c r="E178" s="71"/>
      <c r="F178" s="71"/>
      <c r="G178" s="71"/>
      <c r="H178" s="71"/>
    </row>
    <row r="179" spans="1:8">
      <c r="A179" s="71"/>
      <c r="B179" s="71"/>
      <c r="C179" s="71"/>
      <c r="D179" s="71"/>
      <c r="E179" s="71"/>
      <c r="F179" s="71"/>
      <c r="G179" s="71"/>
      <c r="H179" s="7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79998168889431442"/>
  </sheetPr>
  <dimension ref="A1:I37"/>
  <sheetViews>
    <sheetView workbookViewId="0">
      <selection activeCell="E1" sqref="E1:E1048576"/>
    </sheetView>
  </sheetViews>
  <sheetFormatPr defaultRowHeight="15"/>
  <cols>
    <col min="4" max="4" width="11.1796875" customWidth="1"/>
    <col min="5" max="5" width="9.54296875" customWidth="1"/>
    <col min="6" max="6" width="9.54296875" bestFit="1" customWidth="1"/>
    <col min="7" max="7" width="8.453125" bestFit="1" customWidth="1"/>
    <col min="8" max="8" width="9.1796875" bestFit="1" customWidth="1"/>
    <col min="9" max="9" width="12.6328125" bestFit="1" customWidth="1"/>
  </cols>
  <sheetData>
    <row r="1" spans="1:9">
      <c r="A1" s="1" t="s">
        <v>82</v>
      </c>
      <c r="B1" s="2"/>
      <c r="C1" s="2"/>
      <c r="D1" s="2"/>
      <c r="E1" s="2" t="s">
        <v>83</v>
      </c>
      <c r="F1" s="2"/>
    </row>
    <row r="2" spans="1:9">
      <c r="A2" s="5" t="s">
        <v>84</v>
      </c>
      <c r="B2" s="4"/>
      <c r="C2" s="4"/>
      <c r="D2" s="4"/>
      <c r="E2" s="4" t="s">
        <v>108</v>
      </c>
      <c r="F2" s="4"/>
    </row>
    <row r="3" spans="1:9">
      <c r="A3" s="5" t="s">
        <v>85</v>
      </c>
      <c r="B3" s="4"/>
      <c r="C3" s="4"/>
      <c r="D3" s="4"/>
      <c r="E3" s="4" t="s">
        <v>119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86</v>
      </c>
      <c r="F5" s="57" t="s">
        <v>87</v>
      </c>
      <c r="G5" s="57" t="s">
        <v>88</v>
      </c>
      <c r="H5" s="57" t="s">
        <v>89</v>
      </c>
      <c r="I5" s="115"/>
    </row>
    <row r="6" spans="1:9">
      <c r="A6" s="10"/>
      <c r="B6" s="11"/>
      <c r="C6" s="11"/>
      <c r="D6" s="11"/>
      <c r="E6" s="112" t="s">
        <v>72</v>
      </c>
      <c r="F6" s="57" t="s">
        <v>72</v>
      </c>
      <c r="G6" s="57" t="s">
        <v>72</v>
      </c>
      <c r="H6" s="57" t="s">
        <v>72</v>
      </c>
      <c r="I6" s="57" t="s">
        <v>9</v>
      </c>
    </row>
    <row r="7" spans="1:9">
      <c r="A7" s="10"/>
      <c r="B7" s="11"/>
      <c r="C7" s="11" t="s">
        <v>90</v>
      </c>
      <c r="D7" s="11"/>
      <c r="E7" s="121" t="s">
        <v>91</v>
      </c>
      <c r="F7" s="121" t="s">
        <v>92</v>
      </c>
      <c r="G7" s="121" t="s">
        <v>93</v>
      </c>
      <c r="H7" s="121" t="s">
        <v>94</v>
      </c>
      <c r="I7" s="121" t="s">
        <v>15</v>
      </c>
    </row>
    <row r="8" spans="1:9">
      <c r="A8" s="1"/>
      <c r="B8" s="2"/>
      <c r="C8" s="2"/>
      <c r="D8" s="2"/>
      <c r="E8" s="113"/>
      <c r="F8" s="113"/>
      <c r="G8" s="113"/>
      <c r="H8" s="113"/>
      <c r="I8" s="113"/>
    </row>
    <row r="9" spans="1:9" ht="16.8">
      <c r="A9" s="17" t="s">
        <v>16</v>
      </c>
      <c r="B9" s="18"/>
      <c r="C9" s="18" t="s">
        <v>95</v>
      </c>
      <c r="D9" s="18"/>
      <c r="E9" s="129">
        <v>19804</v>
      </c>
      <c r="F9" s="114">
        <f>27156-E9</f>
        <v>7352</v>
      </c>
      <c r="G9" s="114">
        <f>31574-F9-E9</f>
        <v>4418</v>
      </c>
      <c r="H9" s="114">
        <f>45514-G9-F9-E9</f>
        <v>13940</v>
      </c>
      <c r="I9" s="114">
        <f t="shared" ref="I9:I21" si="0">E9+F9+G9</f>
        <v>31574</v>
      </c>
    </row>
    <row r="10" spans="1:9" ht="16.8">
      <c r="A10" s="119"/>
      <c r="B10" s="21"/>
      <c r="C10" s="21" t="s">
        <v>0</v>
      </c>
      <c r="D10" s="21"/>
      <c r="E10" s="113"/>
      <c r="F10" s="113"/>
      <c r="G10" s="113"/>
      <c r="H10" s="113"/>
      <c r="I10" s="114" t="s">
        <v>0</v>
      </c>
    </row>
    <row r="11" spans="1:9" ht="16.8">
      <c r="A11" s="23">
        <v>0.05</v>
      </c>
      <c r="B11" s="18"/>
      <c r="C11" s="18" t="s">
        <v>96</v>
      </c>
      <c r="D11" s="18"/>
      <c r="E11" s="114">
        <v>20840</v>
      </c>
      <c r="F11" s="129">
        <f>36612-E11</f>
        <v>15772</v>
      </c>
      <c r="G11" s="114">
        <f>48637-F11-E11</f>
        <v>12025</v>
      </c>
      <c r="H11" s="129">
        <f>69439-G11-F11-E11</f>
        <v>20802</v>
      </c>
      <c r="I11" s="114">
        <f t="shared" si="0"/>
        <v>48637</v>
      </c>
    </row>
    <row r="12" spans="1:9" ht="16.8">
      <c r="A12" s="119"/>
      <c r="B12" s="21"/>
      <c r="C12" s="21" t="s">
        <v>0</v>
      </c>
      <c r="D12" s="21"/>
      <c r="E12" s="123"/>
      <c r="F12" s="123"/>
      <c r="G12" s="123"/>
      <c r="H12" s="123"/>
      <c r="I12" s="114" t="s">
        <v>0</v>
      </c>
    </row>
    <row r="13" spans="1:9" ht="16.8">
      <c r="A13" s="23">
        <v>0.04</v>
      </c>
      <c r="B13" s="18"/>
      <c r="C13" s="18" t="s">
        <v>97</v>
      </c>
      <c r="D13" s="18"/>
      <c r="E13" s="114">
        <v>61330</v>
      </c>
      <c r="F13" s="114">
        <v>30190</v>
      </c>
      <c r="G13" s="114">
        <v>40337</v>
      </c>
      <c r="H13" s="114">
        <f>50142</f>
        <v>50142</v>
      </c>
      <c r="I13" s="114">
        <f t="shared" si="0"/>
        <v>131857</v>
      </c>
    </row>
    <row r="14" spans="1:9" ht="16.8">
      <c r="A14" s="119"/>
      <c r="B14" s="21"/>
      <c r="C14" s="21" t="s">
        <v>0</v>
      </c>
      <c r="D14" s="21"/>
      <c r="E14" s="113"/>
      <c r="F14" s="113"/>
      <c r="G14" s="113"/>
      <c r="H14" s="113"/>
      <c r="I14" s="114" t="s">
        <v>0</v>
      </c>
    </row>
    <row r="15" spans="1:9" ht="16.8">
      <c r="A15" s="120">
        <v>0.05</v>
      </c>
      <c r="B15" s="39"/>
      <c r="C15" s="43" t="s">
        <v>47</v>
      </c>
      <c r="D15" s="39"/>
      <c r="E15" s="114">
        <v>78634.740000000005</v>
      </c>
      <c r="F15" s="114">
        <f>120847.81-E15</f>
        <v>42213.069999999992</v>
      </c>
      <c r="G15" s="114">
        <f>155907.21-F15-E15</f>
        <v>35059.399999999994</v>
      </c>
      <c r="H15" s="114">
        <f>201330.9-G15-F15-E15</f>
        <v>45423.69</v>
      </c>
      <c r="I15" s="114">
        <f t="shared" si="0"/>
        <v>155907.21</v>
      </c>
    </row>
    <row r="16" spans="1:9" ht="16.8">
      <c r="A16" s="119"/>
      <c r="B16" s="21"/>
      <c r="C16" s="21"/>
      <c r="D16" s="21"/>
      <c r="E16" s="113"/>
      <c r="F16" s="113"/>
      <c r="G16" s="113"/>
      <c r="H16" s="113"/>
      <c r="I16" s="114" t="s">
        <v>0</v>
      </c>
    </row>
    <row r="17" spans="1:9" ht="16.8">
      <c r="A17" s="17" t="s">
        <v>22</v>
      </c>
      <c r="B17" s="18"/>
      <c r="C17" s="18" t="s">
        <v>98</v>
      </c>
      <c r="D17" s="116" t="s">
        <v>0</v>
      </c>
      <c r="E17" s="129">
        <v>247.12</v>
      </c>
      <c r="F17" s="129">
        <f>702.27-E17</f>
        <v>455.15</v>
      </c>
      <c r="G17" s="114">
        <f>1946-F17</f>
        <v>1490.85</v>
      </c>
      <c r="H17" s="114">
        <v>596</v>
      </c>
      <c r="I17" s="114">
        <f t="shared" si="0"/>
        <v>2193.12</v>
      </c>
    </row>
    <row r="18" spans="1:9" ht="16.8">
      <c r="A18" s="119"/>
      <c r="B18" s="21"/>
      <c r="C18" s="21" t="s">
        <v>0</v>
      </c>
      <c r="D18" s="21"/>
      <c r="E18" s="113"/>
      <c r="F18" s="113"/>
      <c r="G18" s="113"/>
      <c r="H18" s="113"/>
      <c r="I18" s="114" t="s">
        <v>0</v>
      </c>
    </row>
    <row r="19" spans="1:9" ht="16.8">
      <c r="A19" s="23">
        <v>0.03</v>
      </c>
      <c r="B19" s="18"/>
      <c r="C19" s="18" t="s">
        <v>100</v>
      </c>
      <c r="D19" s="18"/>
      <c r="E19" s="114">
        <v>20696</v>
      </c>
      <c r="F19" s="129">
        <f>46030-E19</f>
        <v>25334</v>
      </c>
      <c r="G19" s="114">
        <f>50192-F19-E19</f>
        <v>4162</v>
      </c>
      <c r="H19" s="114">
        <f>58337-G19-F19-E19</f>
        <v>8145</v>
      </c>
      <c r="I19" s="114">
        <f t="shared" si="0"/>
        <v>50192</v>
      </c>
    </row>
    <row r="20" spans="1:9" ht="16.8">
      <c r="A20" s="119"/>
      <c r="B20" s="21"/>
      <c r="C20" s="21"/>
      <c r="D20" s="21"/>
      <c r="E20" s="113"/>
      <c r="F20" s="113"/>
      <c r="G20" s="113"/>
      <c r="H20" s="113"/>
      <c r="I20" s="114" t="s">
        <v>0</v>
      </c>
    </row>
    <row r="21" spans="1:9" ht="16.8">
      <c r="A21" s="23">
        <v>0.05</v>
      </c>
      <c r="B21" s="18"/>
      <c r="C21" s="18" t="s">
        <v>101</v>
      </c>
      <c r="D21" s="18"/>
      <c r="E21" s="114">
        <v>5591.84</v>
      </c>
      <c r="F21" s="129">
        <f>9302.37-E21</f>
        <v>3710.5300000000007</v>
      </c>
      <c r="G21" s="114">
        <f>10654-F21-E21</f>
        <v>1351.6299999999992</v>
      </c>
      <c r="H21" s="114">
        <f>14652.12-G21-F21-E21</f>
        <v>3998.1200000000008</v>
      </c>
      <c r="I21" s="114">
        <f t="shared" si="0"/>
        <v>10654</v>
      </c>
    </row>
    <row r="22" spans="1:9" ht="16.8">
      <c r="A22" s="119"/>
      <c r="B22" s="21"/>
      <c r="C22" s="21"/>
      <c r="D22" s="21"/>
      <c r="E22" s="113"/>
      <c r="F22" s="113"/>
      <c r="G22" s="113"/>
      <c r="H22" s="113"/>
      <c r="I22" s="113" t="s">
        <v>0</v>
      </c>
    </row>
    <row r="23" spans="1:9" ht="16.8">
      <c r="A23" s="23">
        <v>0.05</v>
      </c>
      <c r="B23" s="18"/>
      <c r="C23" s="18" t="s">
        <v>102</v>
      </c>
      <c r="D23" s="18"/>
      <c r="E23" s="114">
        <v>18754</v>
      </c>
      <c r="F23" s="114">
        <f>25778-E23</f>
        <v>7024</v>
      </c>
      <c r="G23" s="114">
        <f>28005-F23-E23</f>
        <v>2227</v>
      </c>
      <c r="H23" s="114">
        <f>31746-G23-F23-E23</f>
        <v>3741</v>
      </c>
      <c r="I23" s="114">
        <f>E23+F23+G23</f>
        <v>28005</v>
      </c>
    </row>
    <row r="24" spans="1:9" ht="16.8">
      <c r="A24" s="119"/>
      <c r="B24" s="21"/>
      <c r="C24" s="21" t="s">
        <v>0</v>
      </c>
      <c r="D24" s="21"/>
      <c r="E24" s="113"/>
      <c r="F24" s="113"/>
      <c r="G24" s="113"/>
      <c r="H24" s="113"/>
      <c r="I24" s="113"/>
    </row>
    <row r="25" spans="1:9" ht="16.8">
      <c r="A25" s="23">
        <v>0.04</v>
      </c>
      <c r="B25" s="18"/>
      <c r="C25" s="18" t="s">
        <v>103</v>
      </c>
      <c r="D25" s="18"/>
      <c r="E25" s="114">
        <v>161953</v>
      </c>
      <c r="F25" s="114">
        <f>276855-E25</f>
        <v>114902</v>
      </c>
      <c r="G25" s="114">
        <f>329626-F25-E25</f>
        <v>52771</v>
      </c>
      <c r="H25" s="114">
        <f>424786-G25-F25-E25</f>
        <v>95160</v>
      </c>
      <c r="I25" s="114">
        <f t="shared" ref="I25:I31" si="1">E25+F25+G25</f>
        <v>329626</v>
      </c>
    </row>
    <row r="26" spans="1:9" ht="16.8">
      <c r="A26" s="119"/>
      <c r="B26" s="21"/>
      <c r="C26" s="21" t="s">
        <v>0</v>
      </c>
      <c r="D26" s="21"/>
      <c r="E26" s="113"/>
      <c r="F26" s="113"/>
      <c r="G26" s="113"/>
      <c r="H26" s="113"/>
      <c r="I26" s="114" t="s">
        <v>0</v>
      </c>
    </row>
    <row r="27" spans="1:9" ht="16.8">
      <c r="A27" s="17" t="s">
        <v>22</v>
      </c>
      <c r="B27" s="18"/>
      <c r="C27" s="18" t="s">
        <v>104</v>
      </c>
      <c r="D27" s="18"/>
      <c r="E27" s="114">
        <v>1028</v>
      </c>
      <c r="F27" s="129">
        <f>3079-E27</f>
        <v>2051</v>
      </c>
      <c r="G27" s="114">
        <f>3709-F27-E27</f>
        <v>630</v>
      </c>
      <c r="H27" s="114">
        <f>4628-G27-F27-E27</f>
        <v>919</v>
      </c>
      <c r="I27" s="114">
        <f t="shared" si="1"/>
        <v>3709</v>
      </c>
    </row>
    <row r="28" spans="1:9" ht="16.8">
      <c r="A28" s="119"/>
      <c r="B28" s="21"/>
      <c r="C28" s="21"/>
      <c r="D28" s="21"/>
      <c r="E28" s="113"/>
      <c r="F28" s="113"/>
      <c r="G28" s="113"/>
      <c r="H28" s="113"/>
      <c r="I28" s="114" t="s">
        <v>0</v>
      </c>
    </row>
    <row r="29" spans="1:9" ht="16.8">
      <c r="A29" s="23">
        <v>0.03</v>
      </c>
      <c r="B29" s="18"/>
      <c r="C29" s="18" t="s">
        <v>128</v>
      </c>
      <c r="D29" s="18"/>
      <c r="E29" s="114">
        <v>272</v>
      </c>
      <c r="F29" s="114">
        <f>1063-E29</f>
        <v>791</v>
      </c>
      <c r="G29" s="129">
        <f>2178-F29-E29</f>
        <v>1115</v>
      </c>
      <c r="H29" s="114">
        <f>2509-G29-F29-E29</f>
        <v>331</v>
      </c>
      <c r="I29" s="114">
        <f t="shared" si="1"/>
        <v>2178</v>
      </c>
    </row>
    <row r="30" spans="1:9" ht="16.8">
      <c r="A30" s="119"/>
      <c r="B30" s="21"/>
      <c r="C30" s="21" t="s">
        <v>0</v>
      </c>
      <c r="D30" s="21"/>
      <c r="E30" s="113"/>
      <c r="F30" s="113"/>
      <c r="G30" s="113"/>
      <c r="H30" s="113"/>
      <c r="I30" s="114" t="s">
        <v>0</v>
      </c>
    </row>
    <row r="31" spans="1:9" ht="16.8">
      <c r="A31" s="23">
        <v>0.05</v>
      </c>
      <c r="B31" s="18"/>
      <c r="C31" s="18" t="s">
        <v>65</v>
      </c>
      <c r="D31" s="117"/>
      <c r="E31" s="114">
        <v>90883</v>
      </c>
      <c r="F31" s="114">
        <f>158443-E31</f>
        <v>67560</v>
      </c>
      <c r="G31" s="114">
        <f>207530-F31-E31</f>
        <v>49087</v>
      </c>
      <c r="H31" s="114">
        <f>277997-G31-F31-E31</f>
        <v>70467</v>
      </c>
      <c r="I31" s="114">
        <f t="shared" si="1"/>
        <v>207530</v>
      </c>
    </row>
    <row r="32" spans="1:9" ht="16.8">
      <c r="A32" s="20"/>
      <c r="B32" s="21"/>
      <c r="C32" s="21"/>
      <c r="D32" s="21"/>
      <c r="E32" s="113"/>
      <c r="F32" s="113"/>
      <c r="G32" s="113"/>
      <c r="H32" s="113"/>
      <c r="I32" s="113"/>
    </row>
    <row r="33" spans="1:9" ht="17.399999999999999" thickBot="1">
      <c r="A33" s="27"/>
      <c r="B33" s="28"/>
      <c r="C33" s="28" t="s">
        <v>105</v>
      </c>
      <c r="D33" s="28"/>
      <c r="E33" s="114">
        <f>SUM(E9:E32)</f>
        <v>480033.69999999995</v>
      </c>
      <c r="F33" s="114">
        <f>SUM(F9:F32)</f>
        <v>317354.75</v>
      </c>
      <c r="G33" s="114">
        <f>SUM(G9:G32)</f>
        <v>204673.88</v>
      </c>
      <c r="H33" s="114">
        <f>SUM(H9:H32)</f>
        <v>313664.81</v>
      </c>
      <c r="I33" s="114">
        <f>SUM(I9:I32)</f>
        <v>1002062.33</v>
      </c>
    </row>
    <row r="34" spans="1:9" ht="15.6" thickTop="1">
      <c r="A34" s="5"/>
      <c r="B34" s="4"/>
      <c r="C34" s="4"/>
      <c r="D34" s="4"/>
      <c r="I34">
        <f>E33+F33+G33+H33</f>
        <v>1315727.1399999999</v>
      </c>
    </row>
    <row r="35" spans="1:9" ht="15.6">
      <c r="A35" s="31" t="s">
        <v>0</v>
      </c>
      <c r="B35" s="32"/>
      <c r="C35" s="4" t="s">
        <v>0</v>
      </c>
      <c r="D35" s="4"/>
    </row>
    <row r="36" spans="1:9" ht="15.6">
      <c r="A36" s="33"/>
      <c r="B36" s="4"/>
      <c r="C36" s="4"/>
      <c r="D36" s="4"/>
    </row>
    <row r="37" spans="1:9">
      <c r="A37" s="11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79998168889431442"/>
  </sheetPr>
  <dimension ref="A1:I79"/>
  <sheetViews>
    <sheetView workbookViewId="0">
      <pane xSplit="2" ySplit="7" topLeftCell="C24" activePane="bottomRight" state="frozen"/>
      <selection pane="topRight" activeCell="C1" sqref="C1"/>
      <selection pane="bottomLeft" activeCell="A8" sqref="A8"/>
      <selection pane="bottomRight" activeCell="A78" sqref="A78:A79"/>
    </sheetView>
  </sheetViews>
  <sheetFormatPr defaultRowHeight="15"/>
  <cols>
    <col min="2" max="2" width="27.54296875" bestFit="1" customWidth="1"/>
    <col min="3" max="3" width="10.90625" customWidth="1"/>
    <col min="4" max="4" width="11.54296875" customWidth="1"/>
    <col min="5" max="6" width="10.54296875" bestFit="1" customWidth="1"/>
    <col min="7" max="7" width="13.9062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46146.497156365738</v>
      </c>
    </row>
    <row r="2" spans="1:7">
      <c r="A2" s="48" t="s">
        <v>0</v>
      </c>
      <c r="B2" s="47"/>
      <c r="C2" s="47" t="s">
        <v>107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120</v>
      </c>
      <c r="D3" s="47"/>
      <c r="E3" s="47"/>
      <c r="F3" s="47"/>
      <c r="G3" s="49"/>
    </row>
    <row r="4" spans="1:7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7">
      <c r="A5" s="48"/>
      <c r="B5" s="73"/>
      <c r="C5" s="74" t="s">
        <v>3</v>
      </c>
      <c r="D5" s="74" t="s">
        <v>4</v>
      </c>
      <c r="E5" s="74" t="s">
        <v>5</v>
      </c>
      <c r="F5" s="74" t="s">
        <v>6</v>
      </c>
      <c r="G5" s="75"/>
    </row>
    <row r="6" spans="1:7">
      <c r="A6" s="48"/>
      <c r="B6" s="73"/>
      <c r="C6" s="74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7">
      <c r="A7" s="67"/>
      <c r="B7" s="77" t="s">
        <v>10</v>
      </c>
      <c r="C7" s="78" t="s">
        <v>11</v>
      </c>
      <c r="D7" s="78" t="s">
        <v>12</v>
      </c>
      <c r="E7" s="79" t="s">
        <v>13</v>
      </c>
      <c r="F7" s="78" t="s">
        <v>14</v>
      </c>
      <c r="G7" s="80" t="s">
        <v>15</v>
      </c>
    </row>
    <row r="8" spans="1:7">
      <c r="A8" s="81" t="s">
        <v>16</v>
      </c>
      <c r="B8" s="124" t="s">
        <v>17</v>
      </c>
      <c r="C8" s="122">
        <v>119104</v>
      </c>
      <c r="D8" s="122">
        <f>222455-C8</f>
        <v>103351</v>
      </c>
      <c r="E8" s="122">
        <f>328653-D8-C8</f>
        <v>106198</v>
      </c>
      <c r="F8" s="122">
        <f>473391-E8-D8-C8</f>
        <v>144738</v>
      </c>
      <c r="G8" s="122">
        <f>C8+D8+E8+F8</f>
        <v>473391</v>
      </c>
    </row>
    <row r="9" spans="1:7">
      <c r="A9" s="126">
        <v>0.05</v>
      </c>
      <c r="B9" s="88" t="s">
        <v>77</v>
      </c>
      <c r="C9" s="122">
        <v>2695640</v>
      </c>
      <c r="D9" s="122">
        <f>6152184-C9</f>
        <v>3456544</v>
      </c>
      <c r="E9" s="128">
        <f>6687909-D9-C9</f>
        <v>535725</v>
      </c>
      <c r="F9" s="122">
        <f>9274437-E9-D9-C9</f>
        <v>2586528</v>
      </c>
      <c r="G9" s="122">
        <f>C9+D9+E9+F9</f>
        <v>9274437</v>
      </c>
    </row>
    <row r="10" spans="1:7">
      <c r="A10" s="126">
        <v>0.01</v>
      </c>
      <c r="B10" s="88" t="s">
        <v>80</v>
      </c>
      <c r="C10" s="122">
        <v>539128</v>
      </c>
      <c r="D10" s="122">
        <f>1168135-C10</f>
        <v>629007</v>
      </c>
      <c r="E10" s="128">
        <f>1275213-D10-C10</f>
        <v>107078</v>
      </c>
      <c r="F10" s="122">
        <f>1792519-E10-D10-C10</f>
        <v>517306</v>
      </c>
      <c r="G10" s="122">
        <f t="shared" ref="G10:G71" si="0">C10+D10+E10+F10</f>
        <v>1792519</v>
      </c>
    </row>
    <row r="11" spans="1:7">
      <c r="A11" s="81" t="s">
        <v>16</v>
      </c>
      <c r="B11" s="84" t="s">
        <v>18</v>
      </c>
      <c r="C11" s="128">
        <v>57558</v>
      </c>
      <c r="D11" s="122">
        <f>73050-C11</f>
        <v>15492</v>
      </c>
      <c r="E11" s="122">
        <f>207101-D11-C11</f>
        <v>134051</v>
      </c>
      <c r="F11" s="128">
        <f>264781-E11-D11-C11</f>
        <v>57680</v>
      </c>
      <c r="G11" s="122">
        <f t="shared" si="0"/>
        <v>264781</v>
      </c>
    </row>
    <row r="12" spans="1:7">
      <c r="A12" s="81" t="s">
        <v>16</v>
      </c>
      <c r="B12" s="84" t="s">
        <v>19</v>
      </c>
      <c r="C12" s="128">
        <v>54153</v>
      </c>
      <c r="D12" s="128">
        <f>84700-C12</f>
        <v>30547</v>
      </c>
      <c r="E12" s="122">
        <f>260358-D12-C12</f>
        <v>175658</v>
      </c>
      <c r="F12" s="128">
        <f>314511-E12-D12-C12</f>
        <v>54153</v>
      </c>
      <c r="G12" s="122">
        <f t="shared" si="0"/>
        <v>314511</v>
      </c>
    </row>
    <row r="13" spans="1:7">
      <c r="A13" s="81" t="s">
        <v>16</v>
      </c>
      <c r="B13" s="84" t="s">
        <v>20</v>
      </c>
      <c r="C13" s="122">
        <v>2727.04</v>
      </c>
      <c r="D13" s="122">
        <f>6201.05-C13</f>
        <v>3474.01</v>
      </c>
      <c r="E13" s="122">
        <f>7528.72-D13-C13</f>
        <v>1327.67</v>
      </c>
      <c r="F13" s="122">
        <f>11730-E13-D13-C13</f>
        <v>4201.28</v>
      </c>
      <c r="G13" s="122">
        <f t="shared" si="0"/>
        <v>11730</v>
      </c>
    </row>
    <row r="14" spans="1:7">
      <c r="A14" s="86">
        <v>0.04</v>
      </c>
      <c r="B14" s="84" t="s">
        <v>21</v>
      </c>
      <c r="C14" s="128">
        <v>11643</v>
      </c>
      <c r="D14" s="128">
        <f>21040-C14</f>
        <v>9397</v>
      </c>
      <c r="E14" s="128">
        <f>8582</f>
        <v>8582</v>
      </c>
      <c r="F14" s="128">
        <f>46119-E14-D14-C14</f>
        <v>16497</v>
      </c>
      <c r="G14" s="122">
        <f t="shared" si="0"/>
        <v>46119</v>
      </c>
    </row>
    <row r="15" spans="1:7">
      <c r="A15" s="81" t="s">
        <v>22</v>
      </c>
      <c r="B15" s="84" t="s">
        <v>23</v>
      </c>
      <c r="C15" s="122">
        <v>29416</v>
      </c>
      <c r="D15" s="122">
        <v>27131</v>
      </c>
      <c r="E15" s="122">
        <v>16276</v>
      </c>
      <c r="F15" s="122">
        <v>24216</v>
      </c>
      <c r="G15" s="122">
        <f t="shared" si="0"/>
        <v>97039</v>
      </c>
    </row>
    <row r="16" spans="1:7">
      <c r="A16" s="86">
        <v>0.03</v>
      </c>
      <c r="B16" s="84" t="s">
        <v>74</v>
      </c>
      <c r="C16" s="122">
        <v>17125</v>
      </c>
      <c r="D16" s="128">
        <f>30315-C16</f>
        <v>13190</v>
      </c>
      <c r="E16" s="122">
        <f>42916-13190-17125</f>
        <v>12601</v>
      </c>
      <c r="F16" s="122">
        <f>58671-E16-D16-C16</f>
        <v>15755</v>
      </c>
      <c r="G16" s="122">
        <f t="shared" si="0"/>
        <v>58671</v>
      </c>
    </row>
    <row r="17" spans="1:8">
      <c r="A17" s="86">
        <v>0.03</v>
      </c>
      <c r="B17" s="84" t="s">
        <v>75</v>
      </c>
      <c r="C17" s="122">
        <v>2467.5700000000002</v>
      </c>
      <c r="D17" s="122">
        <f>3415.21-C17</f>
        <v>947.63999999999987</v>
      </c>
      <c r="E17" s="122">
        <f>3931.65-D17-C17</f>
        <v>516.44000000000005</v>
      </c>
      <c r="F17" s="122">
        <f>4562.34-E17-D17-C17</f>
        <v>630.69000000000005</v>
      </c>
      <c r="G17" s="122">
        <f t="shared" si="0"/>
        <v>4562.34</v>
      </c>
    </row>
    <row r="18" spans="1:8">
      <c r="A18" s="86">
        <v>0.05</v>
      </c>
      <c r="B18" s="84" t="s">
        <v>24</v>
      </c>
      <c r="C18" s="128">
        <v>447683</v>
      </c>
      <c r="D18" s="122">
        <f>820552-C18</f>
        <v>372869</v>
      </c>
      <c r="E18" s="122">
        <f>1167994-D18-C18</f>
        <v>347442</v>
      </c>
      <c r="F18" s="122">
        <f>1583121-E18-D18-C18</f>
        <v>415127</v>
      </c>
      <c r="G18" s="122">
        <f t="shared" si="0"/>
        <v>1583121</v>
      </c>
    </row>
    <row r="19" spans="1:8">
      <c r="A19" s="81" t="s">
        <v>22</v>
      </c>
      <c r="B19" s="84" t="s">
        <v>25</v>
      </c>
      <c r="C19" s="128">
        <v>1234</v>
      </c>
      <c r="D19" s="128">
        <f>3480-C19</f>
        <v>2246</v>
      </c>
      <c r="E19" s="122">
        <f>6085-D19-C19</f>
        <v>2605</v>
      </c>
      <c r="F19" s="122">
        <f>11889-E19-D19-C19</f>
        <v>5804</v>
      </c>
      <c r="G19" s="122">
        <f t="shared" si="0"/>
        <v>11889</v>
      </c>
    </row>
    <row r="20" spans="1:8">
      <c r="A20" s="86">
        <v>0.04</v>
      </c>
      <c r="B20" s="84" t="s">
        <v>26</v>
      </c>
      <c r="C20" s="122">
        <v>37429</v>
      </c>
      <c r="D20" s="122">
        <f>65209-C20</f>
        <v>27780</v>
      </c>
      <c r="E20" s="122">
        <f>69443-D20-C20</f>
        <v>4234</v>
      </c>
      <c r="F20" s="122">
        <f>77981-E20-D20-C20</f>
        <v>8538</v>
      </c>
      <c r="G20" s="122">
        <f t="shared" si="0"/>
        <v>77981</v>
      </c>
    </row>
    <row r="21" spans="1:8">
      <c r="A21" s="81" t="s">
        <v>27</v>
      </c>
      <c r="B21" s="84" t="s">
        <v>28</v>
      </c>
      <c r="C21" s="122">
        <v>9699</v>
      </c>
      <c r="D21" s="128">
        <f>14095-C21</f>
        <v>4396</v>
      </c>
      <c r="E21" s="122">
        <f>16826-D21-C21</f>
        <v>2731</v>
      </c>
      <c r="F21" s="122">
        <f>20371-E21-D21-C21</f>
        <v>3545</v>
      </c>
      <c r="G21" s="122">
        <f t="shared" si="0"/>
        <v>20371</v>
      </c>
    </row>
    <row r="22" spans="1:8">
      <c r="A22" s="86">
        <v>0.05</v>
      </c>
      <c r="B22" s="84" t="s">
        <v>29</v>
      </c>
      <c r="C22" s="128">
        <v>45822.11</v>
      </c>
      <c r="D22" s="122">
        <f>72418.33-C22:C22</f>
        <v>26596.22</v>
      </c>
      <c r="E22" s="122">
        <f>91048.67-D22-C22</f>
        <v>18630.339999999997</v>
      </c>
      <c r="F22" s="122">
        <f>116796.61-E22-D22-C22</f>
        <v>25747.940000000002</v>
      </c>
      <c r="G22" s="122">
        <f t="shared" si="0"/>
        <v>116796.61</v>
      </c>
    </row>
    <row r="23" spans="1:8">
      <c r="A23" s="86">
        <v>0.05</v>
      </c>
      <c r="B23" s="84" t="s">
        <v>76</v>
      </c>
      <c r="C23" s="122">
        <v>46588</v>
      </c>
      <c r="D23" s="122">
        <f>74732-C23</f>
        <v>28144</v>
      </c>
      <c r="E23" s="122">
        <f>95937-D23-C23</f>
        <v>21205</v>
      </c>
      <c r="F23" s="128">
        <f>113973-E23-D23-C23</f>
        <v>18036</v>
      </c>
      <c r="G23" s="122">
        <f t="shared" si="0"/>
        <v>113973</v>
      </c>
    </row>
    <row r="24" spans="1:8">
      <c r="A24" s="86">
        <v>0.05</v>
      </c>
      <c r="B24" s="84" t="s">
        <v>30</v>
      </c>
      <c r="C24" s="122">
        <v>147273</v>
      </c>
      <c r="D24" s="122">
        <f>294671-C24</f>
        <v>147398</v>
      </c>
      <c r="E24" s="122">
        <f>446642-D24-C24</f>
        <v>151971</v>
      </c>
      <c r="F24" s="122">
        <f>625603+1000-E24-D24-C24</f>
        <v>179961</v>
      </c>
      <c r="G24" s="122">
        <f t="shared" si="0"/>
        <v>626603</v>
      </c>
    </row>
    <row r="25" spans="1:8">
      <c r="A25" s="86">
        <v>0.05</v>
      </c>
      <c r="B25" s="84" t="s">
        <v>31</v>
      </c>
      <c r="C25" s="128">
        <v>876</v>
      </c>
      <c r="D25" s="128">
        <f>1754-C25</f>
        <v>878</v>
      </c>
      <c r="E25" s="128">
        <f>2694-D25-C25</f>
        <v>940</v>
      </c>
      <c r="F25" s="128">
        <f>3493-E25-D25-C25</f>
        <v>799</v>
      </c>
      <c r="G25" s="122">
        <f t="shared" si="0"/>
        <v>3493</v>
      </c>
    </row>
    <row r="26" spans="1:8">
      <c r="A26" s="90">
        <v>3.5000000000000003E-2</v>
      </c>
      <c r="B26" s="84" t="s">
        <v>73</v>
      </c>
      <c r="C26" s="128">
        <v>1458</v>
      </c>
      <c r="D26" s="128">
        <f>3071-C26</f>
        <v>1613</v>
      </c>
      <c r="E26" s="128">
        <f>3548-D26-C26</f>
        <v>477</v>
      </c>
      <c r="F26" s="128">
        <f>4983-E26-D26-C26</f>
        <v>1435</v>
      </c>
      <c r="G26" s="122">
        <f t="shared" si="0"/>
        <v>4983</v>
      </c>
    </row>
    <row r="27" spans="1:8">
      <c r="A27" s="81" t="s">
        <v>22</v>
      </c>
      <c r="B27" s="84" t="s">
        <v>32</v>
      </c>
      <c r="C27" s="128">
        <v>5694</v>
      </c>
      <c r="D27" s="128">
        <f>9614-C27</f>
        <v>3920</v>
      </c>
      <c r="E27" s="122">
        <f>11457-D27-C27</f>
        <v>1843</v>
      </c>
      <c r="F27" s="122">
        <f>13814-E27-D27-C27</f>
        <v>2357</v>
      </c>
      <c r="G27" s="122">
        <f t="shared" si="0"/>
        <v>13814</v>
      </c>
    </row>
    <row r="28" spans="1:8">
      <c r="A28" s="91" t="s">
        <v>16</v>
      </c>
      <c r="B28" s="84" t="s">
        <v>79</v>
      </c>
      <c r="C28" s="122">
        <v>89970</v>
      </c>
      <c r="D28" s="122">
        <f>164629-C28</f>
        <v>74659</v>
      </c>
      <c r="E28" s="122">
        <f>254619-D28-C28</f>
        <v>89990</v>
      </c>
      <c r="F28" s="122">
        <f>350666-E28-D28-C28</f>
        <v>96047</v>
      </c>
      <c r="G28" s="122">
        <f t="shared" si="0"/>
        <v>350666</v>
      </c>
    </row>
    <row r="29" spans="1:8">
      <c r="A29" s="81" t="s">
        <v>22</v>
      </c>
      <c r="B29" s="84" t="s">
        <v>33</v>
      </c>
      <c r="C29" s="122">
        <v>21288</v>
      </c>
      <c r="D29" s="122">
        <f>28098-C29</f>
        <v>6810</v>
      </c>
      <c r="E29" s="122">
        <f>32950-D29-C29</f>
        <v>4852</v>
      </c>
      <c r="F29" s="122">
        <f>37860-E29-D29-C29</f>
        <v>4910</v>
      </c>
      <c r="G29" s="122">
        <f t="shared" si="0"/>
        <v>37860</v>
      </c>
    </row>
    <row r="30" spans="1:8">
      <c r="A30" s="86">
        <v>0.05</v>
      </c>
      <c r="B30" s="84" t="s">
        <v>71</v>
      </c>
      <c r="C30" s="122">
        <v>15209.49</v>
      </c>
      <c r="D30" s="128">
        <f>23863.72-C30</f>
        <v>8654.2300000000014</v>
      </c>
      <c r="E30" s="122">
        <f>27328.53-D30-C30</f>
        <v>3464.8099999999959</v>
      </c>
      <c r="F30" s="122">
        <f>35519.73-E30-D30-C30</f>
        <v>8191.2000000000025</v>
      </c>
      <c r="G30" s="122">
        <f t="shared" si="0"/>
        <v>35519.730000000003</v>
      </c>
    </row>
    <row r="31" spans="1:8">
      <c r="A31" s="86">
        <v>0.05</v>
      </c>
      <c r="B31" s="84" t="s">
        <v>34</v>
      </c>
      <c r="C31" s="128">
        <v>5635</v>
      </c>
      <c r="D31" s="128">
        <f>28529-C31</f>
        <v>22894</v>
      </c>
      <c r="E31" s="128">
        <f>33972-D31-C31</f>
        <v>5443</v>
      </c>
      <c r="F31" s="128">
        <f>36853-E31-D31-C31</f>
        <v>2881</v>
      </c>
      <c r="G31" s="122">
        <f t="shared" si="0"/>
        <v>36853</v>
      </c>
      <c r="H31" t="s">
        <v>0</v>
      </c>
    </row>
    <row r="32" spans="1:8">
      <c r="A32" s="81" t="s">
        <v>16</v>
      </c>
      <c r="B32" s="84" t="s">
        <v>35</v>
      </c>
      <c r="C32" s="122">
        <v>311105</v>
      </c>
      <c r="D32" s="122">
        <f>644631-C32</f>
        <v>333526</v>
      </c>
      <c r="E32" s="122">
        <f>864333-D32-C32</f>
        <v>219702</v>
      </c>
      <c r="F32" s="122">
        <f>1190133-E32-D32-C32</f>
        <v>325800</v>
      </c>
      <c r="G32" s="122">
        <f t="shared" si="0"/>
        <v>1190133</v>
      </c>
    </row>
    <row r="33" spans="1:9">
      <c r="A33" s="81" t="s">
        <v>16</v>
      </c>
      <c r="B33" s="84" t="s">
        <v>36</v>
      </c>
      <c r="C33" s="122">
        <v>9516</v>
      </c>
      <c r="D33" s="122">
        <f>17655-C33</f>
        <v>8139</v>
      </c>
      <c r="E33" s="128">
        <f>22306-D33-C33</f>
        <v>4651</v>
      </c>
      <c r="F33" s="122">
        <f>29836-E33-D33-C33</f>
        <v>7530</v>
      </c>
      <c r="G33" s="122">
        <f t="shared" si="0"/>
        <v>29836</v>
      </c>
    </row>
    <row r="34" spans="1:9">
      <c r="A34" s="81" t="s">
        <v>16</v>
      </c>
      <c r="B34" s="84" t="s">
        <v>37</v>
      </c>
      <c r="C34" s="128">
        <v>424355</v>
      </c>
      <c r="D34" s="122">
        <f>749773-C34</f>
        <v>325418</v>
      </c>
      <c r="E34" s="122">
        <f>1062144-D34-C34</f>
        <v>312371</v>
      </c>
      <c r="F34" s="122">
        <f>1374974-E34-D34-C34</f>
        <v>312830</v>
      </c>
      <c r="G34" s="122">
        <f t="shared" si="0"/>
        <v>1374974</v>
      </c>
      <c r="I34" t="s">
        <v>0</v>
      </c>
    </row>
    <row r="35" spans="1:9">
      <c r="A35" s="81" t="s">
        <v>16</v>
      </c>
      <c r="B35" s="84" t="s">
        <v>38</v>
      </c>
      <c r="C35" s="122">
        <v>108867</v>
      </c>
      <c r="D35" s="128">
        <f>206196-C35</f>
        <v>97329</v>
      </c>
      <c r="E35" s="122">
        <f>271949-D35-C35</f>
        <v>65753</v>
      </c>
      <c r="F35" s="122">
        <f>356065-E35-D35-C35</f>
        <v>84116</v>
      </c>
      <c r="G35" s="122">
        <f t="shared" si="0"/>
        <v>356065</v>
      </c>
    </row>
    <row r="36" spans="1:9">
      <c r="A36" s="81" t="s">
        <v>22</v>
      </c>
      <c r="B36" s="84" t="s">
        <v>39</v>
      </c>
      <c r="C36" s="122">
        <v>707.46</v>
      </c>
      <c r="D36" s="122">
        <f>1186.83-C36</f>
        <v>479.36999999999989</v>
      </c>
      <c r="E36" s="122">
        <f>1976.75-D36-C36</f>
        <v>789.92000000000007</v>
      </c>
      <c r="F36" s="122">
        <f>2515-E36-D36-C36</f>
        <v>538.25</v>
      </c>
      <c r="G36" s="122">
        <f t="shared" si="0"/>
        <v>2515</v>
      </c>
    </row>
    <row r="37" spans="1:9">
      <c r="A37" s="86">
        <v>0.05</v>
      </c>
      <c r="B37" s="84" t="s">
        <v>40</v>
      </c>
      <c r="C37" s="122">
        <v>404025</v>
      </c>
      <c r="D37" s="122">
        <f>782191-C37</f>
        <v>378166</v>
      </c>
      <c r="E37" s="122">
        <f>1169155-D37-C37</f>
        <v>386964</v>
      </c>
      <c r="F37" s="122">
        <f>1587310-E37-D37-C37</f>
        <v>418155</v>
      </c>
      <c r="G37" s="122">
        <f t="shared" si="0"/>
        <v>1587310</v>
      </c>
    </row>
    <row r="38" spans="1:9">
      <c r="A38" s="86">
        <v>0.03</v>
      </c>
      <c r="B38" s="84" t="s">
        <v>41</v>
      </c>
      <c r="C38" s="122">
        <v>874</v>
      </c>
      <c r="D38" s="122">
        <f>1418-C38</f>
        <v>544</v>
      </c>
      <c r="E38" s="122">
        <f>1923-D38-C38</f>
        <v>505</v>
      </c>
      <c r="F38" s="122">
        <f>2449-E38-D38-C38</f>
        <v>526</v>
      </c>
      <c r="G38" s="122">
        <f t="shared" si="0"/>
        <v>2449</v>
      </c>
    </row>
    <row r="39" spans="1:9">
      <c r="A39" s="81" t="s">
        <v>16</v>
      </c>
      <c r="B39" s="84" t="s">
        <v>42</v>
      </c>
      <c r="C39" s="128">
        <v>5059</v>
      </c>
      <c r="D39" s="122">
        <f>8408-C39</f>
        <v>3349</v>
      </c>
      <c r="E39" s="128">
        <f>10993-D39-C39</f>
        <v>2585</v>
      </c>
      <c r="F39" s="122">
        <f>14245-E39-D39-C39</f>
        <v>3252</v>
      </c>
      <c r="G39" s="122">
        <f t="shared" si="0"/>
        <v>14245</v>
      </c>
    </row>
    <row r="40" spans="1:9">
      <c r="A40" s="81" t="s">
        <v>16</v>
      </c>
      <c r="B40" s="84" t="s">
        <v>43</v>
      </c>
      <c r="C40" s="128">
        <v>482662</v>
      </c>
      <c r="D40" s="128">
        <f>977411-C40</f>
        <v>494749</v>
      </c>
      <c r="E40" s="128">
        <f>1423284-D40-C40</f>
        <v>445873</v>
      </c>
      <c r="F40" s="122">
        <f>1889254-E40-D40-C40</f>
        <v>465970</v>
      </c>
      <c r="G40" s="122">
        <f t="shared" si="0"/>
        <v>1889254</v>
      </c>
    </row>
    <row r="41" spans="1:9">
      <c r="A41" s="143">
        <v>2.5</v>
      </c>
      <c r="B41" s="84" t="s">
        <v>142</v>
      </c>
      <c r="C41" s="128">
        <v>328413.33</v>
      </c>
      <c r="D41" s="128">
        <f>647491.91-C41</f>
        <v>319078.58</v>
      </c>
      <c r="E41" s="128">
        <f>944207.8-D41-C41</f>
        <v>296715.88999999996</v>
      </c>
      <c r="F41" s="122">
        <f>1238042-E41-D41-C41</f>
        <v>293834.2</v>
      </c>
      <c r="G41" s="122">
        <f t="shared" si="0"/>
        <v>1238042</v>
      </c>
    </row>
    <row r="42" spans="1:9">
      <c r="A42" s="81" t="s">
        <v>27</v>
      </c>
      <c r="B42" s="84" t="s">
        <v>44</v>
      </c>
      <c r="C42" s="128">
        <v>72444</v>
      </c>
      <c r="D42" s="122">
        <f>120266-C42</f>
        <v>47822</v>
      </c>
      <c r="E42" s="122">
        <f>157650-D42-C42</f>
        <v>37384</v>
      </c>
      <c r="F42" s="122">
        <f>226200-E42-D42-C42</f>
        <v>68550</v>
      </c>
      <c r="G42" s="122">
        <f t="shared" si="0"/>
        <v>226200</v>
      </c>
    </row>
    <row r="43" spans="1:9">
      <c r="A43" s="81" t="s">
        <v>22</v>
      </c>
      <c r="B43" s="84" t="s">
        <v>45</v>
      </c>
      <c r="C43" s="122">
        <v>3354</v>
      </c>
      <c r="D43" s="122">
        <f>4743-C43</f>
        <v>1389</v>
      </c>
      <c r="E43" s="122">
        <f>5774-D43-C43</f>
        <v>1031</v>
      </c>
      <c r="F43" s="122">
        <f>8172-E43-D43-C43</f>
        <v>2398</v>
      </c>
      <c r="G43" s="122">
        <f t="shared" si="0"/>
        <v>8172</v>
      </c>
    </row>
    <row r="44" spans="1:9">
      <c r="A44" s="81" t="s">
        <v>16</v>
      </c>
      <c r="B44" s="84" t="s">
        <v>46</v>
      </c>
      <c r="C44" s="128">
        <v>55471</v>
      </c>
      <c r="D44" s="128">
        <f>95165-C44</f>
        <v>39694</v>
      </c>
      <c r="E44" s="122">
        <f>154157-D44-C44</f>
        <v>58992</v>
      </c>
      <c r="F44" s="122">
        <f>207379-E44-D44-C44</f>
        <v>53222</v>
      </c>
      <c r="G44" s="122">
        <f t="shared" si="0"/>
        <v>207379</v>
      </c>
    </row>
    <row r="45" spans="1:9">
      <c r="A45" s="81" t="s">
        <v>27</v>
      </c>
      <c r="B45" s="84" t="s">
        <v>48</v>
      </c>
      <c r="C45" s="128">
        <v>19393.57</v>
      </c>
      <c r="D45" s="128">
        <f>33477.7-C45</f>
        <v>14084.129999999997</v>
      </c>
      <c r="E45" s="128">
        <f>42269.41-D45-C45</f>
        <v>8791.7100000000064</v>
      </c>
      <c r="F45" s="122">
        <f>59771.22-E45-D45-C45</f>
        <v>17501.809999999998</v>
      </c>
      <c r="G45" s="122">
        <f t="shared" si="0"/>
        <v>59771.22</v>
      </c>
    </row>
    <row r="46" spans="1:9">
      <c r="A46" s="91" t="s">
        <v>16</v>
      </c>
      <c r="B46" s="84" t="s">
        <v>49</v>
      </c>
      <c r="C46" s="128">
        <v>18371</v>
      </c>
      <c r="D46" s="128">
        <f>35845-C46</f>
        <v>17474</v>
      </c>
      <c r="E46" s="122">
        <f>52739-D46-C46</f>
        <v>16894</v>
      </c>
      <c r="F46" s="122">
        <f>68979-E46-D46-C46</f>
        <v>16240</v>
      </c>
      <c r="G46" s="122">
        <f t="shared" si="0"/>
        <v>68979</v>
      </c>
    </row>
    <row r="47" spans="1:9">
      <c r="A47" s="86">
        <v>0.04</v>
      </c>
      <c r="B47" s="84" t="s">
        <v>50</v>
      </c>
      <c r="C47" s="122">
        <v>1516.06</v>
      </c>
      <c r="D47" s="122">
        <f>2481.28-C47</f>
        <v>965.22000000000025</v>
      </c>
      <c r="E47" s="122">
        <f>2675-D47-C47</f>
        <v>193.7199999999998</v>
      </c>
      <c r="F47" s="128">
        <f>2674.56-E47-D47-C47+253.68</f>
        <v>253.23999999999995</v>
      </c>
      <c r="G47" s="122">
        <f t="shared" si="0"/>
        <v>2928.24</v>
      </c>
    </row>
    <row r="48" spans="1:9">
      <c r="A48" s="81" t="s">
        <v>16</v>
      </c>
      <c r="B48" s="84" t="s">
        <v>116</v>
      </c>
      <c r="C48" s="122">
        <v>885.6</v>
      </c>
      <c r="D48" s="128">
        <f>1662.85-C48</f>
        <v>777.24999999999989</v>
      </c>
      <c r="E48" s="122">
        <v>198.2</v>
      </c>
      <c r="F48" s="128">
        <f>3756.06-E48-D48-C48</f>
        <v>1895.0100000000002</v>
      </c>
      <c r="G48" s="122">
        <f t="shared" si="0"/>
        <v>3756.0600000000004</v>
      </c>
    </row>
    <row r="49" spans="1:7">
      <c r="A49" s="81" t="s">
        <v>22</v>
      </c>
      <c r="B49" s="84" t="s">
        <v>51</v>
      </c>
      <c r="C49" s="128">
        <v>520</v>
      </c>
      <c r="D49" s="122">
        <v>769</v>
      </c>
      <c r="E49" s="122">
        <f>2171-D49-C49</f>
        <v>882</v>
      </c>
      <c r="F49" s="122">
        <f>2371-E49-D49-C49</f>
        <v>200</v>
      </c>
      <c r="G49" s="122">
        <f t="shared" si="0"/>
        <v>2371</v>
      </c>
    </row>
    <row r="50" spans="1:7">
      <c r="A50" s="81" t="s">
        <v>16</v>
      </c>
      <c r="B50" s="84" t="s">
        <v>52</v>
      </c>
      <c r="C50" s="122">
        <v>33222</v>
      </c>
      <c r="D50" s="122">
        <f>80217-C50</f>
        <v>46995</v>
      </c>
      <c r="E50" s="122">
        <f>101671-D50-C50</f>
        <v>21454</v>
      </c>
      <c r="F50" s="122">
        <f>159735-E50-D50-C50</f>
        <v>58064</v>
      </c>
      <c r="G50" s="122">
        <f t="shared" si="0"/>
        <v>159735</v>
      </c>
    </row>
    <row r="51" spans="1:7">
      <c r="A51" s="81" t="s">
        <v>22</v>
      </c>
      <c r="B51" s="84" t="s">
        <v>53</v>
      </c>
      <c r="C51" s="128">
        <v>4395</v>
      </c>
      <c r="D51" s="122">
        <f>4891-C51</f>
        <v>496</v>
      </c>
      <c r="E51" s="122">
        <f>5586-D51-C51</f>
        <v>695</v>
      </c>
      <c r="F51" s="122">
        <f>6596-E51-D51-C51</f>
        <v>1010</v>
      </c>
      <c r="G51" s="122">
        <f t="shared" si="0"/>
        <v>6596</v>
      </c>
    </row>
    <row r="52" spans="1:7">
      <c r="A52" s="81" t="s">
        <v>16</v>
      </c>
      <c r="B52" s="84" t="s">
        <v>54</v>
      </c>
      <c r="C52" s="122">
        <v>33052.449999999997</v>
      </c>
      <c r="D52" s="122">
        <f>62223.4-C52</f>
        <v>29170.950000000004</v>
      </c>
      <c r="E52" s="122">
        <f>83874.93-D52-C52</f>
        <v>21651.529999999992</v>
      </c>
      <c r="F52" s="122">
        <f>116565.45-E52-D52-C52</f>
        <v>32690.520000000004</v>
      </c>
      <c r="G52" s="122">
        <f t="shared" si="0"/>
        <v>116565.45</v>
      </c>
    </row>
    <row r="53" spans="1:7">
      <c r="A53" s="81" t="s">
        <v>16</v>
      </c>
      <c r="B53" s="84" t="s">
        <v>55</v>
      </c>
      <c r="C53" s="122">
        <v>121588</v>
      </c>
      <c r="D53" s="122">
        <f>184440-C53</f>
        <v>62852</v>
      </c>
      <c r="E53" s="122">
        <f>237650-D53-C53</f>
        <v>53210</v>
      </c>
      <c r="F53" s="122">
        <f>309427-E53-D53-C53</f>
        <v>71777</v>
      </c>
      <c r="G53" s="122">
        <f t="shared" si="0"/>
        <v>309427</v>
      </c>
    </row>
    <row r="54" spans="1:7">
      <c r="A54" s="81" t="s">
        <v>16</v>
      </c>
      <c r="B54" s="84" t="s">
        <v>56</v>
      </c>
      <c r="C54" s="122">
        <v>224134</v>
      </c>
      <c r="D54" s="122">
        <f>310008-C54</f>
        <v>85874</v>
      </c>
      <c r="E54" s="122">
        <f>480929-D54-C54</f>
        <v>170921</v>
      </c>
      <c r="F54" s="122">
        <f>582005-E54-D54-C54</f>
        <v>101076</v>
      </c>
      <c r="G54" s="122">
        <f t="shared" si="0"/>
        <v>582005</v>
      </c>
    </row>
    <row r="55" spans="1:7">
      <c r="A55" s="86">
        <v>0.05</v>
      </c>
      <c r="B55" s="84" t="s">
        <v>126</v>
      </c>
      <c r="C55" s="122">
        <v>353.8</v>
      </c>
      <c r="D55" s="128">
        <f>1627-C55</f>
        <v>1273.2</v>
      </c>
      <c r="E55" s="128">
        <f>2295-D55-C55</f>
        <v>668</v>
      </c>
      <c r="F55" s="122">
        <f>3546-E55-D55-C55</f>
        <v>1251</v>
      </c>
      <c r="G55" s="122">
        <f t="shared" si="0"/>
        <v>3546</v>
      </c>
    </row>
    <row r="56" spans="1:7">
      <c r="A56" s="86">
        <v>0.05</v>
      </c>
      <c r="B56" s="84" t="s">
        <v>57</v>
      </c>
      <c r="C56" s="122">
        <v>79756</v>
      </c>
      <c r="D56" s="122">
        <f>161182-C56</f>
        <v>81426</v>
      </c>
      <c r="E56" s="122">
        <f>216810-D56-C56</f>
        <v>55628</v>
      </c>
      <c r="F56" s="122">
        <f>294718-E56-D56-C56</f>
        <v>77908</v>
      </c>
      <c r="G56" s="122">
        <f t="shared" si="0"/>
        <v>294718</v>
      </c>
    </row>
    <row r="57" spans="1:7">
      <c r="A57" s="81" t="s">
        <v>16</v>
      </c>
      <c r="B57" s="84" t="s">
        <v>58</v>
      </c>
      <c r="C57" s="122">
        <v>258025</v>
      </c>
      <c r="D57" s="122">
        <f>499557-C57</f>
        <v>241532</v>
      </c>
      <c r="E57" s="122">
        <f>703041-D57-C57</f>
        <v>203484</v>
      </c>
      <c r="F57" s="122">
        <f>972755-E57-D57-C57</f>
        <v>269714</v>
      </c>
      <c r="G57" s="122">
        <f t="shared" si="0"/>
        <v>972755</v>
      </c>
    </row>
    <row r="58" spans="1:7">
      <c r="A58" s="93" t="s">
        <v>16</v>
      </c>
      <c r="B58" s="84" t="s">
        <v>59</v>
      </c>
      <c r="C58" s="122">
        <v>456837</v>
      </c>
      <c r="D58" s="122">
        <f>704484-C58</f>
        <v>247647</v>
      </c>
      <c r="E58" s="122">
        <f>1011865-D58</f>
        <v>764218</v>
      </c>
      <c r="F58" s="128">
        <f>1224744-E64-D64-C64</f>
        <v>917496</v>
      </c>
      <c r="G58" s="122">
        <f t="shared" si="0"/>
        <v>2386198</v>
      </c>
    </row>
    <row r="59" spans="1:7">
      <c r="A59" s="81" t="s">
        <v>16</v>
      </c>
      <c r="B59" s="84" t="s">
        <v>60</v>
      </c>
      <c r="C59" s="122">
        <v>69373</v>
      </c>
      <c r="D59" s="122">
        <f>118176-C59</f>
        <v>48803</v>
      </c>
      <c r="E59" s="122">
        <f>143994-D59-C59</f>
        <v>25818</v>
      </c>
      <c r="F59" s="122">
        <f>179525-E59-D59-C59</f>
        <v>35531</v>
      </c>
      <c r="G59" s="122">
        <f t="shared" si="0"/>
        <v>179525</v>
      </c>
    </row>
    <row r="60" spans="1:7">
      <c r="A60" s="86">
        <v>0.05</v>
      </c>
      <c r="B60" s="94" t="s">
        <v>78</v>
      </c>
      <c r="C60" s="122">
        <v>2108373</v>
      </c>
      <c r="D60" s="128">
        <f>3574965-C60</f>
        <v>1466592</v>
      </c>
      <c r="E60" s="122">
        <f>4514657-D60-C60</f>
        <v>939692</v>
      </c>
      <c r="F60" s="122">
        <f>5824085-E60-D60-C60</f>
        <v>1309428</v>
      </c>
      <c r="G60" s="122">
        <f t="shared" si="0"/>
        <v>5824085</v>
      </c>
    </row>
    <row r="61" spans="1:7">
      <c r="A61" s="86">
        <v>0.02</v>
      </c>
      <c r="B61" s="94" t="s">
        <v>140</v>
      </c>
      <c r="C61" s="122">
        <v>843349</v>
      </c>
      <c r="D61" s="128">
        <f>1429986-C61</f>
        <v>586637</v>
      </c>
      <c r="E61" s="122">
        <f>1805863-D61-C61</f>
        <v>375877</v>
      </c>
      <c r="F61" s="122">
        <f>2329634-E61-D61-C61</f>
        <v>523771</v>
      </c>
      <c r="G61" s="122">
        <f t="shared" si="0"/>
        <v>2329634</v>
      </c>
    </row>
    <row r="62" spans="1:7">
      <c r="A62" s="86">
        <v>0.05</v>
      </c>
      <c r="B62" s="84" t="s">
        <v>61</v>
      </c>
      <c r="C62" s="122">
        <v>133648.47</v>
      </c>
      <c r="D62" s="122">
        <f>232747.69-C62</f>
        <v>99099.22</v>
      </c>
      <c r="E62" s="122">
        <f>322181.98-D62-C62</f>
        <v>89434.289999999979</v>
      </c>
      <c r="F62" s="122">
        <f>444133.49-E62-D62-C62</f>
        <v>121951.51000000001</v>
      </c>
      <c r="G62" s="122">
        <f t="shared" si="0"/>
        <v>444133.49</v>
      </c>
    </row>
    <row r="63" spans="1:7">
      <c r="A63" s="81" t="s">
        <v>16</v>
      </c>
      <c r="B63" s="84" t="s">
        <v>62</v>
      </c>
      <c r="C63" s="128">
        <v>71789</v>
      </c>
      <c r="D63" s="128">
        <f>129886-C63</f>
        <v>58097</v>
      </c>
      <c r="E63" s="122">
        <f>174595-D63-C63</f>
        <v>44709</v>
      </c>
      <c r="F63" s="122">
        <f>242610-E63-D63-C63</f>
        <v>68015</v>
      </c>
      <c r="G63" s="122">
        <f t="shared" si="0"/>
        <v>242610</v>
      </c>
    </row>
    <row r="64" spans="1:7">
      <c r="A64" s="86">
        <v>0.05</v>
      </c>
      <c r="B64" s="84" t="s">
        <v>63</v>
      </c>
      <c r="C64" s="122">
        <v>95529</v>
      </c>
      <c r="D64" s="128">
        <f>200737-C64</f>
        <v>105208</v>
      </c>
      <c r="E64" s="128">
        <f>211719-D64</f>
        <v>106511</v>
      </c>
      <c r="F64" s="128">
        <f>364002-E64-D64-C64</f>
        <v>56754</v>
      </c>
      <c r="G64" s="122">
        <f t="shared" si="0"/>
        <v>364002</v>
      </c>
    </row>
    <row r="65" spans="1:7">
      <c r="A65" s="81" t="s">
        <v>22</v>
      </c>
      <c r="B65" s="84" t="s">
        <v>127</v>
      </c>
      <c r="C65" s="128">
        <v>481</v>
      </c>
      <c r="D65" s="128">
        <f>683.72-C65</f>
        <v>202.72000000000003</v>
      </c>
      <c r="E65" s="122">
        <f>975-D65-C65</f>
        <v>291.27999999999997</v>
      </c>
      <c r="F65" s="122">
        <f>1896-E65-D65-C65</f>
        <v>921</v>
      </c>
      <c r="G65" s="122">
        <f t="shared" si="0"/>
        <v>1896</v>
      </c>
    </row>
    <row r="66" spans="1:7">
      <c r="A66" s="86">
        <v>0.05</v>
      </c>
      <c r="B66" s="84" t="s">
        <v>65</v>
      </c>
      <c r="C66" s="122">
        <v>265148</v>
      </c>
      <c r="D66" s="122">
        <f>476736-C66</f>
        <v>211588</v>
      </c>
      <c r="E66" s="122">
        <f>651647-D66-C66</f>
        <v>174911</v>
      </c>
      <c r="F66" s="122">
        <f>906431-E66-D66-C66</f>
        <v>254784</v>
      </c>
      <c r="G66" s="122">
        <f t="shared" si="0"/>
        <v>906431</v>
      </c>
    </row>
    <row r="67" spans="1:7">
      <c r="A67" s="91" t="s">
        <v>16</v>
      </c>
      <c r="B67" s="84" t="s">
        <v>66</v>
      </c>
      <c r="C67" s="122">
        <v>16621</v>
      </c>
      <c r="D67" s="122">
        <f>31535-C67</f>
        <v>14914</v>
      </c>
      <c r="E67" s="122">
        <f>200594-D67-C67</f>
        <v>169059</v>
      </c>
      <c r="F67" s="122">
        <f>270344-E67-D67-C67</f>
        <v>69750</v>
      </c>
      <c r="G67" s="122">
        <f t="shared" si="0"/>
        <v>270344</v>
      </c>
    </row>
    <row r="68" spans="1:7">
      <c r="A68" s="81" t="s">
        <v>16</v>
      </c>
      <c r="B68" s="84" t="s">
        <v>67</v>
      </c>
      <c r="C68" s="122">
        <v>49685</v>
      </c>
      <c r="D68" s="122">
        <f>98191-C68</f>
        <v>48506</v>
      </c>
      <c r="E68" s="122">
        <f>145336-D68-C68</f>
        <v>47145</v>
      </c>
      <c r="F68" s="122">
        <f>195641-E68-D68-C68</f>
        <v>50305</v>
      </c>
      <c r="G68" s="122">
        <f t="shared" si="0"/>
        <v>195641</v>
      </c>
    </row>
    <row r="69" spans="1:7">
      <c r="A69" s="81" t="s">
        <v>16</v>
      </c>
      <c r="B69" s="84" t="s">
        <v>68</v>
      </c>
      <c r="C69" s="128">
        <v>146975</v>
      </c>
      <c r="D69" s="128">
        <f>261748-C69</f>
        <v>114773</v>
      </c>
      <c r="E69" s="128">
        <f>366393-D69-C69</f>
        <v>104645</v>
      </c>
      <c r="F69" s="122">
        <f>511929-E69-D69-C69</f>
        <v>145536</v>
      </c>
      <c r="G69" s="122">
        <f t="shared" si="0"/>
        <v>511929</v>
      </c>
    </row>
    <row r="70" spans="1:7">
      <c r="A70" s="91" t="s">
        <v>16</v>
      </c>
      <c r="B70" s="84" t="s">
        <v>81</v>
      </c>
      <c r="C70" s="128">
        <v>10203</v>
      </c>
      <c r="D70" s="122">
        <v>12380.41</v>
      </c>
      <c r="E70" s="128">
        <f>34832-D70-C70</f>
        <v>12248.59</v>
      </c>
      <c r="F70" s="122">
        <f>47915-E70-D70-C70</f>
        <v>13083.000000000004</v>
      </c>
      <c r="G70" s="122">
        <f t="shared" si="0"/>
        <v>47915</v>
      </c>
    </row>
    <row r="71" spans="1:7">
      <c r="A71" s="81" t="s">
        <v>22</v>
      </c>
      <c r="B71" s="84" t="s">
        <v>69</v>
      </c>
      <c r="C71" s="128">
        <v>561.19000000000005</v>
      </c>
      <c r="D71" s="122">
        <f>1144.83-C71</f>
        <v>583.63999999999987</v>
      </c>
      <c r="E71" s="122">
        <f>1451.99-D71-C71</f>
        <v>307.16000000000008</v>
      </c>
      <c r="F71" s="122">
        <f>2021-E71-D71-C71</f>
        <v>569.01</v>
      </c>
      <c r="G71" s="122">
        <f t="shared" si="0"/>
        <v>2021</v>
      </c>
    </row>
    <row r="72" spans="1:7">
      <c r="A72" s="45"/>
      <c r="B72" s="46"/>
      <c r="C72" s="122"/>
      <c r="D72" s="122"/>
      <c r="E72" s="122"/>
      <c r="F72" s="122"/>
      <c r="G72" s="122"/>
    </row>
    <row r="73" spans="1:7">
      <c r="A73" s="67"/>
      <c r="B73" s="125" t="s">
        <v>70</v>
      </c>
      <c r="C73" s="122">
        <f>SUM(C8:C72)</f>
        <v>11675458.140000001</v>
      </c>
      <c r="D73" s="122">
        <f>SUM(D8:D72)</f>
        <v>10666340.790000003</v>
      </c>
      <c r="E73" s="122">
        <f>SUM(E8:E72)</f>
        <v>6996695.5500000007</v>
      </c>
      <c r="F73" s="122">
        <f>SUM(F8:F72)</f>
        <v>10449280.659999998</v>
      </c>
      <c r="G73" s="122">
        <f>SUM(G8:G72)</f>
        <v>39787775.139999993</v>
      </c>
    </row>
    <row r="74" spans="1:7">
      <c r="A74" t="s">
        <v>0</v>
      </c>
      <c r="G74">
        <f>C73+D73+E73+F73</f>
        <v>39787775.140000001</v>
      </c>
    </row>
    <row r="75" spans="1:7">
      <c r="A75" t="s">
        <v>130</v>
      </c>
    </row>
    <row r="76" spans="1:7">
      <c r="A76" t="s">
        <v>131</v>
      </c>
    </row>
    <row r="78" spans="1:7">
      <c r="A78" t="s">
        <v>143</v>
      </c>
    </row>
    <row r="79" spans="1:7">
      <c r="A79" t="s">
        <v>144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38"/>
  <sheetViews>
    <sheetView workbookViewId="0">
      <selection activeCell="I17" sqref="I17"/>
    </sheetView>
  </sheetViews>
  <sheetFormatPr defaultRowHeight="15"/>
  <cols>
    <col min="4" max="4" width="11.1796875" customWidth="1"/>
    <col min="5" max="5" width="9.54296875" customWidth="1"/>
    <col min="6" max="6" width="9.54296875" bestFit="1" customWidth="1"/>
    <col min="7" max="7" width="8.453125" bestFit="1" customWidth="1"/>
    <col min="8" max="8" width="9.1796875" bestFit="1" customWidth="1"/>
    <col min="9" max="9" width="12.6328125" bestFit="1" customWidth="1"/>
  </cols>
  <sheetData>
    <row r="1" spans="1:9">
      <c r="B1" s="2"/>
      <c r="C1" s="2"/>
      <c r="D1" s="130" t="s">
        <v>82</v>
      </c>
      <c r="E1" s="2" t="s">
        <v>83</v>
      </c>
      <c r="F1" s="2"/>
    </row>
    <row r="2" spans="1:9">
      <c r="A2" s="5" t="s">
        <v>132</v>
      </c>
      <c r="B2" s="4"/>
      <c r="C2" s="4"/>
      <c r="D2" s="4"/>
      <c r="E2" s="4" t="s">
        <v>108</v>
      </c>
      <c r="F2" s="4"/>
    </row>
    <row r="3" spans="1:9">
      <c r="A3" s="5" t="s">
        <v>133</v>
      </c>
      <c r="B3" s="4"/>
      <c r="C3" s="4"/>
      <c r="D3" s="4"/>
      <c r="E3" s="4" t="s">
        <v>135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86</v>
      </c>
      <c r="F5" s="57" t="s">
        <v>87</v>
      </c>
      <c r="G5" s="57" t="s">
        <v>88</v>
      </c>
      <c r="H5" s="57" t="s">
        <v>89</v>
      </c>
      <c r="I5" s="115"/>
    </row>
    <row r="6" spans="1:9">
      <c r="A6" s="10"/>
      <c r="B6" s="11"/>
      <c r="C6" s="11"/>
      <c r="D6" s="11"/>
      <c r="E6" s="112" t="s">
        <v>72</v>
      </c>
      <c r="F6" s="57" t="s">
        <v>72</v>
      </c>
      <c r="G6" s="57" t="s">
        <v>72</v>
      </c>
      <c r="H6" s="57" t="s">
        <v>72</v>
      </c>
      <c r="I6" s="57" t="s">
        <v>9</v>
      </c>
    </row>
    <row r="7" spans="1:9" ht="16.8">
      <c r="A7" s="10"/>
      <c r="B7" s="11"/>
      <c r="C7" s="18" t="s">
        <v>90</v>
      </c>
      <c r="D7" s="11"/>
      <c r="E7" s="121" t="s">
        <v>91</v>
      </c>
      <c r="F7" s="121" t="s">
        <v>92</v>
      </c>
      <c r="G7" s="121" t="s">
        <v>93</v>
      </c>
      <c r="H7" s="121" t="s">
        <v>94</v>
      </c>
      <c r="I7" s="121" t="s">
        <v>15</v>
      </c>
    </row>
    <row r="8" spans="1:9">
      <c r="A8" s="1"/>
      <c r="B8" s="2"/>
      <c r="C8" s="2"/>
      <c r="D8" s="2"/>
      <c r="E8" s="113"/>
      <c r="F8" s="113"/>
      <c r="G8" s="113"/>
      <c r="H8" s="113"/>
      <c r="I8" s="114">
        <f t="shared" ref="I8:I29" si="0">SUM(E8:H8)</f>
        <v>0</v>
      </c>
    </row>
    <row r="9" spans="1:9" ht="16.8">
      <c r="A9" s="17" t="s">
        <v>16</v>
      </c>
      <c r="B9" s="18"/>
      <c r="C9" s="18" t="s">
        <v>95</v>
      </c>
      <c r="D9" s="18"/>
      <c r="E9" s="129">
        <v>29433</v>
      </c>
      <c r="F9" s="114">
        <v>9030</v>
      </c>
      <c r="G9" s="129">
        <v>11100</v>
      </c>
      <c r="H9" s="129">
        <v>13675</v>
      </c>
      <c r="I9" s="114">
        <f t="shared" si="0"/>
        <v>63238</v>
      </c>
    </row>
    <row r="10" spans="1:9" ht="16.8">
      <c r="A10" s="119"/>
      <c r="B10" s="21"/>
      <c r="C10" s="21" t="s">
        <v>0</v>
      </c>
      <c r="D10" s="21"/>
      <c r="E10" s="113"/>
      <c r="F10" s="113"/>
      <c r="G10" s="113"/>
      <c r="H10" s="113"/>
      <c r="I10" s="114">
        <f t="shared" si="0"/>
        <v>0</v>
      </c>
    </row>
    <row r="11" spans="1:9" ht="16.8">
      <c r="A11" s="23">
        <v>0.05</v>
      </c>
      <c r="B11" s="18"/>
      <c r="C11" s="18" t="s">
        <v>136</v>
      </c>
      <c r="D11" s="18"/>
      <c r="E11" s="114">
        <v>18126</v>
      </c>
      <c r="F11" s="114">
        <v>16136</v>
      </c>
      <c r="G11" s="129">
        <v>10494</v>
      </c>
      <c r="H11" s="129">
        <v>25532</v>
      </c>
      <c r="I11" s="114">
        <f t="shared" si="0"/>
        <v>70288</v>
      </c>
    </row>
    <row r="12" spans="1:9" ht="16.8">
      <c r="A12" s="119"/>
      <c r="B12" s="21"/>
      <c r="C12" s="21" t="s">
        <v>0</v>
      </c>
      <c r="D12" s="21"/>
      <c r="E12" s="123"/>
      <c r="F12" s="123"/>
      <c r="G12" s="123"/>
      <c r="H12" s="123"/>
      <c r="I12" s="114">
        <f t="shared" si="0"/>
        <v>0</v>
      </c>
    </row>
    <row r="13" spans="1:9" ht="16.8">
      <c r="A13" s="23">
        <v>0.04</v>
      </c>
      <c r="B13" s="18"/>
      <c r="C13" s="18" t="s">
        <v>97</v>
      </c>
      <c r="D13" s="18"/>
      <c r="E13" s="114">
        <v>20183</v>
      </c>
      <c r="F13" s="114">
        <v>12896</v>
      </c>
      <c r="G13" s="114">
        <v>12362</v>
      </c>
      <c r="H13" s="114">
        <v>12213</v>
      </c>
      <c r="I13" s="114">
        <f t="shared" si="0"/>
        <v>57654</v>
      </c>
    </row>
    <row r="14" spans="1:9" ht="16.8">
      <c r="A14" s="119"/>
      <c r="B14" s="21"/>
      <c r="C14" s="21" t="s">
        <v>0</v>
      </c>
      <c r="D14" s="21"/>
      <c r="E14" s="113"/>
      <c r="F14" s="113"/>
      <c r="G14" s="113"/>
      <c r="H14" s="113"/>
      <c r="I14" s="114">
        <f t="shared" si="0"/>
        <v>0</v>
      </c>
    </row>
    <row r="15" spans="1:9" ht="16.8">
      <c r="A15" s="120">
        <v>0.05</v>
      </c>
      <c r="B15" s="39"/>
      <c r="C15" s="43" t="s">
        <v>47</v>
      </c>
      <c r="D15" s="39"/>
      <c r="E15" s="129">
        <v>76481</v>
      </c>
      <c r="F15" s="114">
        <v>48943</v>
      </c>
      <c r="G15" s="114">
        <v>36836</v>
      </c>
      <c r="H15" s="114">
        <v>47951</v>
      </c>
      <c r="I15" s="114">
        <f t="shared" si="0"/>
        <v>210211</v>
      </c>
    </row>
    <row r="16" spans="1:9" ht="16.8">
      <c r="A16" s="119"/>
      <c r="B16" s="21"/>
      <c r="C16" s="21"/>
      <c r="D16" s="21"/>
      <c r="E16" s="113"/>
      <c r="F16" s="113"/>
      <c r="G16" s="113"/>
      <c r="H16" s="113"/>
      <c r="I16" s="114">
        <f t="shared" si="0"/>
        <v>0</v>
      </c>
    </row>
    <row r="17" spans="1:9" ht="16.8">
      <c r="A17" s="120">
        <v>0.05</v>
      </c>
      <c r="B17" s="18"/>
      <c r="C17" s="18" t="s">
        <v>98</v>
      </c>
      <c r="D17" s="116" t="s">
        <v>0</v>
      </c>
      <c r="E17" s="114">
        <v>174</v>
      </c>
      <c r="F17" s="114">
        <v>723</v>
      </c>
      <c r="G17" s="114">
        <v>970</v>
      </c>
      <c r="H17" s="114">
        <v>584</v>
      </c>
      <c r="I17" s="114">
        <f t="shared" si="0"/>
        <v>2451</v>
      </c>
    </row>
    <row r="18" spans="1:9" ht="16.8">
      <c r="A18" s="119"/>
      <c r="B18" s="21"/>
      <c r="C18" s="21" t="s">
        <v>0</v>
      </c>
      <c r="D18" s="21"/>
      <c r="E18" s="113"/>
      <c r="F18" s="113"/>
      <c r="G18" s="113"/>
      <c r="H18" s="113"/>
      <c r="I18" s="114">
        <f t="shared" si="0"/>
        <v>0</v>
      </c>
    </row>
    <row r="19" spans="1:9" ht="16.8">
      <c r="A19" s="23">
        <v>0.03</v>
      </c>
      <c r="B19" s="18"/>
      <c r="C19" s="18" t="s">
        <v>100</v>
      </c>
      <c r="D19" s="18"/>
      <c r="E19" s="129">
        <v>13814</v>
      </c>
      <c r="F19" s="114">
        <v>17486</v>
      </c>
      <c r="G19" s="114">
        <v>22911</v>
      </c>
      <c r="H19" s="114">
        <v>4979</v>
      </c>
      <c r="I19" s="114">
        <f t="shared" si="0"/>
        <v>59190</v>
      </c>
    </row>
    <row r="20" spans="1:9" ht="16.8">
      <c r="A20" s="119"/>
      <c r="B20" s="21"/>
      <c r="C20" s="21"/>
      <c r="D20" s="21"/>
      <c r="E20" s="113"/>
      <c r="F20" s="113"/>
      <c r="G20" s="113"/>
      <c r="H20" s="113"/>
      <c r="I20" s="114">
        <f t="shared" si="0"/>
        <v>0</v>
      </c>
    </row>
    <row r="21" spans="1:9" ht="16.8">
      <c r="A21" s="23">
        <v>0.05</v>
      </c>
      <c r="B21" s="18"/>
      <c r="C21" s="18" t="s">
        <v>101</v>
      </c>
      <c r="D21" s="18"/>
      <c r="E21" s="114">
        <v>6116</v>
      </c>
      <c r="F21" s="114">
        <v>3199</v>
      </c>
      <c r="G21" s="129">
        <v>1788</v>
      </c>
      <c r="H21" s="129">
        <v>4498</v>
      </c>
      <c r="I21" s="114">
        <f t="shared" si="0"/>
        <v>15601</v>
      </c>
    </row>
    <row r="22" spans="1:9" ht="16.8">
      <c r="A22" s="119"/>
      <c r="B22" s="21"/>
      <c r="C22" s="21"/>
      <c r="D22" s="21"/>
      <c r="E22" s="113"/>
      <c r="F22" s="113"/>
      <c r="G22" s="113"/>
      <c r="H22" s="113"/>
      <c r="I22" s="114">
        <f t="shared" si="0"/>
        <v>0</v>
      </c>
    </row>
    <row r="23" spans="1:9" ht="16.8">
      <c r="A23" s="23">
        <v>0.05</v>
      </c>
      <c r="B23" s="18"/>
      <c r="C23" s="18" t="s">
        <v>102</v>
      </c>
      <c r="D23" s="18"/>
      <c r="E23" s="114">
        <v>15582</v>
      </c>
      <c r="F23" s="114">
        <v>4777</v>
      </c>
      <c r="G23" s="114">
        <v>928</v>
      </c>
      <c r="H23" s="129">
        <v>4798</v>
      </c>
      <c r="I23" s="114">
        <f t="shared" si="0"/>
        <v>26085</v>
      </c>
    </row>
    <row r="24" spans="1:9" ht="16.8">
      <c r="A24" s="119"/>
      <c r="B24" s="21"/>
      <c r="C24" s="21" t="s">
        <v>0</v>
      </c>
      <c r="D24" s="21"/>
      <c r="E24" s="113"/>
      <c r="F24" s="113"/>
      <c r="G24" s="113"/>
      <c r="H24" s="113"/>
      <c r="I24" s="114">
        <f t="shared" si="0"/>
        <v>0</v>
      </c>
    </row>
    <row r="25" spans="1:9" ht="16.8">
      <c r="A25" s="23">
        <v>0.04</v>
      </c>
      <c r="B25" s="18"/>
      <c r="C25" s="18" t="s">
        <v>103</v>
      </c>
      <c r="D25" s="18"/>
      <c r="E25" s="114">
        <v>154533</v>
      </c>
      <c r="F25" s="114">
        <v>120645</v>
      </c>
      <c r="G25" s="114">
        <v>53054</v>
      </c>
      <c r="H25" s="114">
        <v>96486</v>
      </c>
      <c r="I25" s="114">
        <f t="shared" si="0"/>
        <v>424718</v>
      </c>
    </row>
    <row r="26" spans="1:9" ht="16.8">
      <c r="A26" s="119"/>
      <c r="B26" s="21"/>
      <c r="C26" s="21" t="s">
        <v>0</v>
      </c>
      <c r="D26" s="21"/>
      <c r="E26" s="113"/>
      <c r="F26" s="113"/>
      <c r="G26" s="113"/>
      <c r="H26" s="113"/>
      <c r="I26" s="114">
        <f t="shared" si="0"/>
        <v>0</v>
      </c>
    </row>
    <row r="27" spans="1:9" ht="16.8">
      <c r="A27" s="17" t="s">
        <v>22</v>
      </c>
      <c r="B27" s="18"/>
      <c r="C27" s="18" t="s">
        <v>104</v>
      </c>
      <c r="D27" s="18"/>
      <c r="E27" s="114">
        <v>1226</v>
      </c>
      <c r="F27" s="114">
        <v>1700</v>
      </c>
      <c r="G27" s="114">
        <v>1122</v>
      </c>
      <c r="H27" s="114">
        <v>1064</v>
      </c>
      <c r="I27" s="114">
        <f t="shared" si="0"/>
        <v>5112</v>
      </c>
    </row>
    <row r="28" spans="1:9" ht="16.8">
      <c r="A28" s="119"/>
      <c r="B28" s="21"/>
      <c r="C28" s="21"/>
      <c r="D28" s="21"/>
      <c r="E28" s="113"/>
      <c r="F28" s="113"/>
      <c r="G28" s="113"/>
      <c r="H28" s="113"/>
      <c r="I28" s="114">
        <f t="shared" si="0"/>
        <v>0</v>
      </c>
    </row>
    <row r="29" spans="1:9" ht="16.8">
      <c r="A29" s="23">
        <v>0.03</v>
      </c>
      <c r="B29" s="18"/>
      <c r="C29" s="18" t="s">
        <v>128</v>
      </c>
      <c r="D29" s="18"/>
      <c r="E29" s="114">
        <v>139</v>
      </c>
      <c r="F29" s="114">
        <v>788</v>
      </c>
      <c r="G29" s="129">
        <v>1520</v>
      </c>
      <c r="H29" s="114">
        <v>206</v>
      </c>
      <c r="I29" s="114">
        <f t="shared" si="0"/>
        <v>2653</v>
      </c>
    </row>
    <row r="30" spans="1:9" ht="16.8">
      <c r="A30" s="119"/>
      <c r="B30" s="21"/>
      <c r="C30" s="21" t="s">
        <v>0</v>
      </c>
      <c r="D30" s="21"/>
      <c r="E30" s="113"/>
      <c r="F30" s="113"/>
      <c r="G30" s="113"/>
      <c r="H30" s="113"/>
      <c r="I30" s="114" t="s">
        <v>0</v>
      </c>
    </row>
    <row r="31" spans="1:9" ht="16.8">
      <c r="A31" s="23">
        <v>0.05</v>
      </c>
      <c r="B31" s="18"/>
      <c r="C31" s="18" t="s">
        <v>65</v>
      </c>
      <c r="D31" s="117"/>
      <c r="E31" s="129">
        <v>95476</v>
      </c>
      <c r="F31" s="114">
        <v>72613</v>
      </c>
      <c r="G31" s="114">
        <v>61587</v>
      </c>
      <c r="H31" s="114">
        <v>66833</v>
      </c>
      <c r="I31" s="114">
        <f>SUM(E31:H31)</f>
        <v>296509</v>
      </c>
    </row>
    <row r="32" spans="1:9" ht="16.8">
      <c r="A32" s="20"/>
      <c r="B32" s="21"/>
      <c r="C32" s="21"/>
      <c r="D32" s="21"/>
      <c r="E32" s="113"/>
      <c r="F32" s="113"/>
      <c r="G32" s="113"/>
      <c r="H32" s="113"/>
      <c r="I32" s="113"/>
    </row>
    <row r="33" spans="1:9" ht="17.399999999999999" thickBot="1">
      <c r="A33" s="27"/>
      <c r="B33" s="28"/>
      <c r="C33" s="28" t="s">
        <v>105</v>
      </c>
      <c r="D33" s="28"/>
      <c r="E33" s="114">
        <f>SUM(E9:E32)</f>
        <v>431283</v>
      </c>
      <c r="F33" s="114">
        <f>SUM(F9:F32)</f>
        <v>308936</v>
      </c>
      <c r="G33" s="114">
        <f>SUM(G9:G32)</f>
        <v>214672</v>
      </c>
      <c r="H33" s="114">
        <f>SUM(H9:H32)</f>
        <v>278819</v>
      </c>
      <c r="I33" s="114">
        <f>SUM(I9:I32)</f>
        <v>1233710</v>
      </c>
    </row>
    <row r="34" spans="1:9" ht="15.6" thickTop="1">
      <c r="A34" s="5"/>
      <c r="B34" s="4"/>
      <c r="C34" s="4"/>
      <c r="D34" s="4"/>
      <c r="I34">
        <f>SUM(E33:H33)</f>
        <v>1233710</v>
      </c>
    </row>
    <row r="35" spans="1:9" ht="15.6">
      <c r="A35" s="31" t="s">
        <v>137</v>
      </c>
      <c r="B35" s="32"/>
    </row>
    <row r="36" spans="1:9" ht="15.6">
      <c r="A36" s="33" t="s">
        <v>0</v>
      </c>
      <c r="B36" s="4"/>
      <c r="C36" s="4"/>
      <c r="D36" s="4"/>
    </row>
    <row r="37" spans="1:9">
      <c r="A37" s="118" t="s">
        <v>0</v>
      </c>
    </row>
    <row r="38" spans="1:9">
      <c r="A38" t="s"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79"/>
  <sheetViews>
    <sheetView topLeftCell="A6" zoomScaleNormal="100" workbookViewId="0">
      <selection activeCell="G31" sqref="G31"/>
    </sheetView>
  </sheetViews>
  <sheetFormatPr defaultRowHeight="15"/>
  <cols>
    <col min="2" max="2" width="27.54296875" bestFit="1" customWidth="1"/>
    <col min="3" max="3" width="10.90625" customWidth="1"/>
    <col min="4" max="4" width="11.54296875" customWidth="1"/>
    <col min="5" max="6" width="10.54296875" bestFit="1" customWidth="1"/>
    <col min="7" max="7" width="13.9062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46146.497156365738</v>
      </c>
    </row>
    <row r="2" spans="1:7">
      <c r="A2" s="48" t="s">
        <v>0</v>
      </c>
      <c r="B2" s="47"/>
      <c r="C2" s="47" t="s">
        <v>107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134</v>
      </c>
      <c r="D3" s="47"/>
      <c r="E3" s="47"/>
      <c r="F3" s="47"/>
      <c r="G3" s="49"/>
    </row>
    <row r="4" spans="1:7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7">
      <c r="A5" s="48"/>
      <c r="B5" s="73"/>
      <c r="C5" s="133" t="s">
        <v>3</v>
      </c>
      <c r="D5" s="74" t="s">
        <v>4</v>
      </c>
      <c r="E5" s="74" t="s">
        <v>5</v>
      </c>
      <c r="F5" s="74" t="s">
        <v>6</v>
      </c>
      <c r="G5" s="75"/>
    </row>
    <row r="6" spans="1:7">
      <c r="A6" s="48"/>
      <c r="B6" s="73"/>
      <c r="C6" s="133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7" ht="17.399999999999999">
      <c r="A7" s="67"/>
      <c r="B7" s="142" t="s">
        <v>10</v>
      </c>
      <c r="C7" s="131" t="s">
        <v>11</v>
      </c>
      <c r="D7" s="78" t="s">
        <v>12</v>
      </c>
      <c r="E7" s="132" t="s">
        <v>13</v>
      </c>
      <c r="F7" s="78" t="s">
        <v>14</v>
      </c>
      <c r="G7" s="80" t="s">
        <v>15</v>
      </c>
    </row>
    <row r="8" spans="1:7">
      <c r="A8" s="81" t="s">
        <v>16</v>
      </c>
      <c r="B8" s="124" t="s">
        <v>17</v>
      </c>
      <c r="C8" s="122">
        <v>118201</v>
      </c>
      <c r="D8" s="122">
        <v>105685</v>
      </c>
      <c r="E8" s="122">
        <v>101321</v>
      </c>
      <c r="F8" s="122">
        <v>146250</v>
      </c>
      <c r="G8" s="122">
        <f t="shared" ref="G8:G22" si="0">SUM(C8:F8)</f>
        <v>471457</v>
      </c>
    </row>
    <row r="9" spans="1:7">
      <c r="A9" s="126">
        <v>0.05</v>
      </c>
      <c r="B9" s="88" t="s">
        <v>77</v>
      </c>
      <c r="C9" s="122">
        <v>2988933</v>
      </c>
      <c r="D9" s="122">
        <v>1731340</v>
      </c>
      <c r="E9" s="122">
        <v>1917444</v>
      </c>
      <c r="F9" s="122">
        <v>3003560</v>
      </c>
      <c r="G9" s="122">
        <f t="shared" si="0"/>
        <v>9641277</v>
      </c>
    </row>
    <row r="10" spans="1:7">
      <c r="A10" s="126">
        <v>0.01</v>
      </c>
      <c r="B10" s="88" t="s">
        <v>141</v>
      </c>
      <c r="C10" s="122">
        <v>596655</v>
      </c>
      <c r="D10" s="122">
        <v>346267</v>
      </c>
      <c r="E10" s="122">
        <v>383488</v>
      </c>
      <c r="F10" s="122">
        <v>600712</v>
      </c>
      <c r="G10" s="122">
        <f t="shared" si="0"/>
        <v>1927122</v>
      </c>
    </row>
    <row r="11" spans="1:7">
      <c r="A11" s="81" t="s">
        <v>16</v>
      </c>
      <c r="B11" s="84" t="s">
        <v>18</v>
      </c>
      <c r="C11" s="122">
        <v>39303</v>
      </c>
      <c r="D11" s="122">
        <v>15423</v>
      </c>
      <c r="E11" s="122">
        <v>135192</v>
      </c>
      <c r="F11" s="122">
        <v>56635</v>
      </c>
      <c r="G11" s="122">
        <f t="shared" si="0"/>
        <v>246553</v>
      </c>
    </row>
    <row r="12" spans="1:7">
      <c r="A12" s="81" t="s">
        <v>16</v>
      </c>
      <c r="B12" s="84" t="s">
        <v>19</v>
      </c>
      <c r="C12" s="122">
        <v>88426</v>
      </c>
      <c r="D12" s="122">
        <v>168142</v>
      </c>
      <c r="E12" s="128">
        <v>27832</v>
      </c>
      <c r="F12" s="128">
        <v>105254</v>
      </c>
      <c r="G12" s="122">
        <f t="shared" si="0"/>
        <v>389654</v>
      </c>
    </row>
    <row r="13" spans="1:7">
      <c r="A13" s="81" t="s">
        <v>16</v>
      </c>
      <c r="B13" s="84" t="s">
        <v>20</v>
      </c>
      <c r="C13" s="122">
        <v>2871.14</v>
      </c>
      <c r="D13" s="122">
        <v>5688</v>
      </c>
      <c r="E13" s="122">
        <v>4950</v>
      </c>
      <c r="F13" s="122">
        <v>16476</v>
      </c>
      <c r="G13" s="122">
        <f t="shared" si="0"/>
        <v>29985.14</v>
      </c>
    </row>
    <row r="14" spans="1:7">
      <c r="A14" s="86">
        <v>0.04</v>
      </c>
      <c r="B14" s="84" t="s">
        <v>21</v>
      </c>
      <c r="C14" s="122">
        <v>14976</v>
      </c>
      <c r="D14" s="122">
        <v>4747</v>
      </c>
      <c r="E14" s="122">
        <v>8582</v>
      </c>
      <c r="F14" s="128">
        <v>55702</v>
      </c>
      <c r="G14" s="122">
        <f t="shared" si="0"/>
        <v>84007</v>
      </c>
    </row>
    <row r="15" spans="1:7">
      <c r="A15" s="81" t="s">
        <v>22</v>
      </c>
      <c r="B15" s="84" t="s">
        <v>23</v>
      </c>
      <c r="C15" s="122">
        <v>31407</v>
      </c>
      <c r="D15" s="122">
        <v>26373</v>
      </c>
      <c r="E15" s="122">
        <v>19149</v>
      </c>
      <c r="F15" s="122">
        <v>29321</v>
      </c>
      <c r="G15" s="122">
        <f t="shared" si="0"/>
        <v>106250</v>
      </c>
    </row>
    <row r="16" spans="1:7">
      <c r="A16" s="86">
        <v>0.03</v>
      </c>
      <c r="B16" s="84" t="s">
        <v>74</v>
      </c>
      <c r="C16" s="122">
        <v>18813</v>
      </c>
      <c r="D16" s="122">
        <v>16552</v>
      </c>
      <c r="E16" s="122">
        <v>8345</v>
      </c>
      <c r="F16" s="122">
        <v>18928</v>
      </c>
      <c r="G16" s="122">
        <f t="shared" si="0"/>
        <v>62638</v>
      </c>
    </row>
    <row r="17" spans="1:8">
      <c r="A17" s="86">
        <v>0.03</v>
      </c>
      <c r="B17" s="84" t="s">
        <v>75</v>
      </c>
      <c r="C17" s="122">
        <v>1366.19</v>
      </c>
      <c r="D17" s="122">
        <v>891.75</v>
      </c>
      <c r="E17" s="122">
        <v>607.9</v>
      </c>
      <c r="F17" s="128">
        <v>708.06</v>
      </c>
      <c r="G17" s="122">
        <f t="shared" si="0"/>
        <v>3573.9</v>
      </c>
    </row>
    <row r="18" spans="1:8">
      <c r="A18" s="86">
        <v>0.05</v>
      </c>
      <c r="B18" s="84" t="s">
        <v>24</v>
      </c>
      <c r="C18" s="122">
        <v>470054</v>
      </c>
      <c r="D18" s="122">
        <v>390710</v>
      </c>
      <c r="E18" s="122">
        <v>457100</v>
      </c>
      <c r="F18" s="122">
        <v>545866</v>
      </c>
      <c r="G18" s="122">
        <f t="shared" si="0"/>
        <v>1863730</v>
      </c>
    </row>
    <row r="19" spans="1:8">
      <c r="A19" s="81" t="s">
        <v>22</v>
      </c>
      <c r="B19" s="84" t="s">
        <v>25</v>
      </c>
      <c r="C19" s="122">
        <v>1296</v>
      </c>
      <c r="D19" s="122">
        <v>1753</v>
      </c>
      <c r="E19" s="122">
        <v>1814</v>
      </c>
      <c r="F19" s="122">
        <v>1406</v>
      </c>
      <c r="G19" s="122">
        <f t="shared" si="0"/>
        <v>6269</v>
      </c>
    </row>
    <row r="20" spans="1:8">
      <c r="A20" s="86">
        <v>0.04</v>
      </c>
      <c r="B20" s="84" t="s">
        <v>26</v>
      </c>
      <c r="C20" s="122">
        <v>43852</v>
      </c>
      <c r="D20" s="122">
        <v>24937</v>
      </c>
      <c r="E20" s="122">
        <v>4550</v>
      </c>
      <c r="F20" s="122">
        <v>9207</v>
      </c>
      <c r="G20" s="122">
        <f t="shared" si="0"/>
        <v>82546</v>
      </c>
    </row>
    <row r="21" spans="1:8">
      <c r="A21" s="81" t="s">
        <v>27</v>
      </c>
      <c r="B21" s="84" t="s">
        <v>28</v>
      </c>
      <c r="C21" s="122">
        <v>9907</v>
      </c>
      <c r="D21" s="122">
        <v>4790</v>
      </c>
      <c r="E21" s="122">
        <v>1362</v>
      </c>
      <c r="F21" s="122">
        <v>2891</v>
      </c>
      <c r="G21" s="122">
        <f t="shared" si="0"/>
        <v>18950</v>
      </c>
    </row>
    <row r="22" spans="1:8">
      <c r="A22" s="86">
        <v>0.05</v>
      </c>
      <c r="B22" s="84" t="s">
        <v>29</v>
      </c>
      <c r="C22" s="122">
        <v>19380</v>
      </c>
      <c r="D22" s="122">
        <v>8193</v>
      </c>
      <c r="E22" s="122">
        <v>7284</v>
      </c>
      <c r="F22" s="122">
        <v>10676</v>
      </c>
      <c r="G22" s="122">
        <f t="shared" si="0"/>
        <v>45533</v>
      </c>
    </row>
    <row r="23" spans="1:8">
      <c r="A23" s="86">
        <v>0.05</v>
      </c>
      <c r="B23" s="84" t="s">
        <v>76</v>
      </c>
      <c r="C23" s="122">
        <v>43533</v>
      </c>
      <c r="D23" s="122">
        <v>25895</v>
      </c>
      <c r="E23" s="122">
        <v>21461</v>
      </c>
      <c r="F23" s="122">
        <v>29866</v>
      </c>
      <c r="G23" s="122">
        <f>SUM(C23:F23)</f>
        <v>120755</v>
      </c>
    </row>
    <row r="24" spans="1:8">
      <c r="A24" s="86">
        <v>0.05</v>
      </c>
      <c r="B24" s="84" t="s">
        <v>30</v>
      </c>
      <c r="C24" s="128">
        <f>190125+13585.71</f>
        <v>203710.71</v>
      </c>
      <c r="D24" s="122">
        <f>156001+6566.86</f>
        <v>162567.85999999999</v>
      </c>
      <c r="E24" s="122">
        <v>111170</v>
      </c>
      <c r="F24" s="122">
        <v>173974</v>
      </c>
      <c r="G24" s="122">
        <f t="shared" ref="G24:G71" si="1">SUM(C24:F24)</f>
        <v>651422.56999999995</v>
      </c>
    </row>
    <row r="25" spans="1:8">
      <c r="A25" s="86">
        <v>0.05</v>
      </c>
      <c r="B25" s="84" t="s">
        <v>31</v>
      </c>
      <c r="C25" s="122">
        <v>717</v>
      </c>
      <c r="D25" s="122">
        <v>612</v>
      </c>
      <c r="E25" s="122">
        <v>664</v>
      </c>
      <c r="F25" s="122">
        <v>915</v>
      </c>
      <c r="G25" s="122">
        <f t="shared" si="1"/>
        <v>2908</v>
      </c>
      <c r="H25" t="s">
        <v>0</v>
      </c>
    </row>
    <row r="26" spans="1:8">
      <c r="A26" s="90">
        <v>3.5000000000000003E-2</v>
      </c>
      <c r="B26" s="84" t="s">
        <v>73</v>
      </c>
      <c r="C26" s="122">
        <v>1286</v>
      </c>
      <c r="D26" s="122">
        <v>1586</v>
      </c>
      <c r="E26" s="122">
        <v>563</v>
      </c>
      <c r="F26" s="122">
        <v>999</v>
      </c>
      <c r="G26" s="122">
        <f t="shared" si="1"/>
        <v>4434</v>
      </c>
    </row>
    <row r="27" spans="1:8">
      <c r="A27" s="81" t="s">
        <v>22</v>
      </c>
      <c r="B27" s="84" t="s">
        <v>32</v>
      </c>
      <c r="C27" s="122">
        <v>36918</v>
      </c>
      <c r="D27" s="122">
        <v>5101</v>
      </c>
      <c r="E27" s="122">
        <v>3258</v>
      </c>
      <c r="F27" s="128">
        <v>1833</v>
      </c>
      <c r="G27" s="122">
        <f t="shared" si="1"/>
        <v>47110</v>
      </c>
    </row>
    <row r="28" spans="1:8">
      <c r="A28" s="91" t="s">
        <v>16</v>
      </c>
      <c r="B28" s="84" t="s">
        <v>79</v>
      </c>
      <c r="C28" s="122">
        <v>94192</v>
      </c>
      <c r="D28" s="122">
        <v>85594</v>
      </c>
      <c r="E28" s="122">
        <v>96936</v>
      </c>
      <c r="F28" s="122">
        <v>98920</v>
      </c>
      <c r="G28" s="122">
        <f t="shared" si="1"/>
        <v>375642</v>
      </c>
    </row>
    <row r="29" spans="1:8">
      <c r="A29" s="81" t="s">
        <v>22</v>
      </c>
      <c r="B29" s="84" t="s">
        <v>33</v>
      </c>
      <c r="C29" s="122">
        <v>19996</v>
      </c>
      <c r="D29" s="122">
        <v>6630</v>
      </c>
      <c r="E29" s="122">
        <v>4088</v>
      </c>
      <c r="F29" s="122">
        <v>3573</v>
      </c>
      <c r="G29" s="122">
        <f t="shared" si="1"/>
        <v>34287</v>
      </c>
    </row>
    <row r="30" spans="1:8">
      <c r="A30" s="86">
        <v>0.05</v>
      </c>
      <c r="B30" s="84" t="s">
        <v>71</v>
      </c>
      <c r="C30" s="122">
        <v>8976.52</v>
      </c>
      <c r="D30" s="122">
        <v>6427.63</v>
      </c>
      <c r="E30" s="122">
        <v>19326.13</v>
      </c>
      <c r="F30" s="122">
        <v>8965</v>
      </c>
      <c r="G30" s="122">
        <f t="shared" si="1"/>
        <v>43695.28</v>
      </c>
      <c r="H30" t="s">
        <v>0</v>
      </c>
    </row>
    <row r="31" spans="1:8">
      <c r="A31" s="86">
        <v>0.05</v>
      </c>
      <c r="B31" s="84" t="s">
        <v>34</v>
      </c>
      <c r="C31" s="122">
        <v>47819</v>
      </c>
      <c r="D31" s="122">
        <v>1901</v>
      </c>
      <c r="E31" s="128">
        <v>2987</v>
      </c>
      <c r="F31" s="128">
        <v>9983</v>
      </c>
      <c r="G31" s="122">
        <f t="shared" si="1"/>
        <v>62690</v>
      </c>
      <c r="H31" t="s">
        <v>0</v>
      </c>
    </row>
    <row r="32" spans="1:8">
      <c r="A32" s="81" t="s">
        <v>16</v>
      </c>
      <c r="B32" s="84" t="s">
        <v>35</v>
      </c>
      <c r="C32" s="122">
        <v>348230</v>
      </c>
      <c r="D32" s="122">
        <v>262593</v>
      </c>
      <c r="E32" s="122">
        <v>291938</v>
      </c>
      <c r="F32" s="122">
        <v>301362</v>
      </c>
      <c r="G32" s="122">
        <f t="shared" si="1"/>
        <v>1204123</v>
      </c>
    </row>
    <row r="33" spans="1:10">
      <c r="A33" s="81" t="s">
        <v>16</v>
      </c>
      <c r="B33" s="84" t="s">
        <v>36</v>
      </c>
      <c r="C33" s="122">
        <v>10190</v>
      </c>
      <c r="D33" s="122">
        <v>8927</v>
      </c>
      <c r="E33" s="128">
        <v>4944</v>
      </c>
      <c r="F33" s="122">
        <v>6005</v>
      </c>
      <c r="G33" s="122">
        <f t="shared" si="1"/>
        <v>30066</v>
      </c>
    </row>
    <row r="34" spans="1:10">
      <c r="A34" s="81" t="s">
        <v>16</v>
      </c>
      <c r="B34" s="84" t="s">
        <v>37</v>
      </c>
      <c r="C34" s="122">
        <v>375801</v>
      </c>
      <c r="D34" s="122">
        <v>306297</v>
      </c>
      <c r="E34" s="122">
        <v>253735</v>
      </c>
      <c r="F34" s="122">
        <v>318094</v>
      </c>
      <c r="G34" s="122">
        <f t="shared" si="1"/>
        <v>1253927</v>
      </c>
      <c r="I34" t="s">
        <v>0</v>
      </c>
    </row>
    <row r="35" spans="1:10">
      <c r="A35" s="81" t="s">
        <v>16</v>
      </c>
      <c r="B35" s="84" t="s">
        <v>38</v>
      </c>
      <c r="C35" s="122">
        <v>110081</v>
      </c>
      <c r="D35" s="122">
        <v>86541</v>
      </c>
      <c r="E35" s="122">
        <v>63149</v>
      </c>
      <c r="F35" s="122">
        <v>101147</v>
      </c>
      <c r="G35" s="122">
        <f t="shared" si="1"/>
        <v>360918</v>
      </c>
    </row>
    <row r="36" spans="1:10">
      <c r="A36" s="81" t="s">
        <v>22</v>
      </c>
      <c r="B36" s="84" t="s">
        <v>39</v>
      </c>
      <c r="C36" s="122">
        <v>455</v>
      </c>
      <c r="D36" s="122">
        <v>479</v>
      </c>
      <c r="E36" s="122">
        <v>263</v>
      </c>
      <c r="F36" s="122">
        <v>332.95</v>
      </c>
      <c r="G36" s="122">
        <f t="shared" si="1"/>
        <v>1529.95</v>
      </c>
    </row>
    <row r="37" spans="1:10">
      <c r="A37" s="86">
        <v>0.05</v>
      </c>
      <c r="B37" s="84" t="s">
        <v>40</v>
      </c>
      <c r="C37" s="122">
        <v>382024</v>
      </c>
      <c r="D37" s="122">
        <v>372714</v>
      </c>
      <c r="E37" s="122">
        <v>339097</v>
      </c>
      <c r="F37" s="122">
        <v>429116</v>
      </c>
      <c r="G37" s="122">
        <f t="shared" si="1"/>
        <v>1522951</v>
      </c>
      <c r="J37" t="s">
        <v>0</v>
      </c>
    </row>
    <row r="38" spans="1:10">
      <c r="A38" s="86">
        <v>0.03</v>
      </c>
      <c r="B38" s="84" t="s">
        <v>41</v>
      </c>
      <c r="C38" s="122">
        <v>493</v>
      </c>
      <c r="D38" s="122">
        <v>529</v>
      </c>
      <c r="E38" s="122">
        <v>443</v>
      </c>
      <c r="F38" s="122">
        <v>490</v>
      </c>
      <c r="G38" s="122">
        <f t="shared" si="1"/>
        <v>1955</v>
      </c>
    </row>
    <row r="39" spans="1:10">
      <c r="A39" s="81" t="s">
        <v>16</v>
      </c>
      <c r="B39" s="84" t="s">
        <v>42</v>
      </c>
      <c r="C39" s="128">
        <v>4007</v>
      </c>
      <c r="D39" s="122">
        <v>3564</v>
      </c>
      <c r="E39" s="122">
        <v>2350</v>
      </c>
      <c r="F39" s="128">
        <v>2580</v>
      </c>
      <c r="G39" s="122">
        <f t="shared" si="1"/>
        <v>12501</v>
      </c>
    </row>
    <row r="40" spans="1:10">
      <c r="A40" s="81" t="s">
        <v>16</v>
      </c>
      <c r="B40" s="84" t="s">
        <v>43</v>
      </c>
      <c r="C40" s="128">
        <v>460652</v>
      </c>
      <c r="D40" s="122">
        <v>463625</v>
      </c>
      <c r="E40" s="122">
        <v>428732</v>
      </c>
      <c r="F40" s="128">
        <v>493168</v>
      </c>
      <c r="G40" s="122">
        <f t="shared" si="1"/>
        <v>1846177</v>
      </c>
    </row>
    <row r="41" spans="1:10">
      <c r="A41" s="143">
        <v>2.5</v>
      </c>
      <c r="B41" s="84" t="s">
        <v>142</v>
      </c>
      <c r="C41" s="128">
        <v>302119</v>
      </c>
      <c r="D41" s="122">
        <v>290175</v>
      </c>
      <c r="E41" s="122">
        <v>278001</v>
      </c>
      <c r="F41" s="128">
        <v>287665.09000000003</v>
      </c>
      <c r="G41" s="122">
        <f t="shared" si="1"/>
        <v>1157960.0900000001</v>
      </c>
    </row>
    <row r="42" spans="1:10">
      <c r="A42" s="81" t="s">
        <v>27</v>
      </c>
      <c r="B42" s="84" t="s">
        <v>44</v>
      </c>
      <c r="C42" s="128">
        <v>91375</v>
      </c>
      <c r="D42" s="122">
        <v>53935</v>
      </c>
      <c r="E42" s="122">
        <v>46646</v>
      </c>
      <c r="F42" s="122">
        <v>70141</v>
      </c>
      <c r="G42" s="122">
        <f t="shared" si="1"/>
        <v>262097</v>
      </c>
    </row>
    <row r="43" spans="1:10">
      <c r="A43" s="81" t="s">
        <v>22</v>
      </c>
      <c r="B43" s="84" t="s">
        <v>45</v>
      </c>
      <c r="C43" s="122">
        <v>3107</v>
      </c>
      <c r="D43" s="122">
        <v>2343</v>
      </c>
      <c r="E43" s="122">
        <v>1349</v>
      </c>
      <c r="F43" s="122">
        <v>2560</v>
      </c>
      <c r="G43" s="122">
        <f t="shared" si="1"/>
        <v>9359</v>
      </c>
    </row>
    <row r="44" spans="1:10">
      <c r="A44" s="81" t="s">
        <v>16</v>
      </c>
      <c r="B44" s="84" t="s">
        <v>46</v>
      </c>
      <c r="C44" s="122">
        <v>47123</v>
      </c>
      <c r="D44" s="122">
        <v>48651</v>
      </c>
      <c r="E44" s="122">
        <v>69777</v>
      </c>
      <c r="F44" s="122">
        <v>56538</v>
      </c>
      <c r="G44" s="122">
        <f t="shared" si="1"/>
        <v>222089</v>
      </c>
    </row>
    <row r="45" spans="1:10">
      <c r="A45" s="81" t="s">
        <v>27</v>
      </c>
      <c r="B45" s="84" t="s">
        <v>48</v>
      </c>
      <c r="C45" s="122">
        <v>13984</v>
      </c>
      <c r="D45" s="122">
        <v>17482</v>
      </c>
      <c r="E45" s="122">
        <v>11103</v>
      </c>
      <c r="F45" s="122">
        <v>18968</v>
      </c>
      <c r="G45" s="122">
        <f t="shared" si="1"/>
        <v>61537</v>
      </c>
    </row>
    <row r="46" spans="1:10">
      <c r="A46" s="91" t="s">
        <v>16</v>
      </c>
      <c r="B46" s="84" t="s">
        <v>49</v>
      </c>
      <c r="C46" s="122">
        <v>16956</v>
      </c>
      <c r="D46" s="122">
        <v>17434</v>
      </c>
      <c r="E46" s="122">
        <v>12231</v>
      </c>
      <c r="F46" s="122">
        <v>18603</v>
      </c>
      <c r="G46" s="122">
        <f t="shared" si="1"/>
        <v>65224</v>
      </c>
      <c r="H46" t="s">
        <v>0</v>
      </c>
    </row>
    <row r="47" spans="1:10">
      <c r="A47" s="86">
        <v>0.04</v>
      </c>
      <c r="B47" s="84" t="s">
        <v>50</v>
      </c>
      <c r="C47" s="122">
        <v>608.52</v>
      </c>
      <c r="D47" s="122">
        <v>241</v>
      </c>
      <c r="E47" s="122">
        <v>268</v>
      </c>
      <c r="F47" s="122">
        <v>4439</v>
      </c>
      <c r="G47" s="122">
        <f t="shared" si="1"/>
        <v>5556.52</v>
      </c>
    </row>
    <row r="48" spans="1:10">
      <c r="A48" s="81" t="s">
        <v>16</v>
      </c>
      <c r="B48" s="84" t="s">
        <v>116</v>
      </c>
      <c r="C48" s="128">
        <v>1040.55</v>
      </c>
      <c r="D48" s="122">
        <v>1128</v>
      </c>
      <c r="E48" s="122">
        <v>2760</v>
      </c>
      <c r="F48" s="122">
        <v>966</v>
      </c>
      <c r="G48" s="122">
        <f t="shared" si="1"/>
        <v>5894.55</v>
      </c>
    </row>
    <row r="49" spans="1:8">
      <c r="A49" s="81" t="s">
        <v>22</v>
      </c>
      <c r="B49" s="84" t="s">
        <v>51</v>
      </c>
      <c r="C49" s="122">
        <v>297</v>
      </c>
      <c r="D49" s="122">
        <v>1830</v>
      </c>
      <c r="E49" s="122">
        <v>457</v>
      </c>
      <c r="F49" s="122">
        <v>341</v>
      </c>
      <c r="G49" s="122">
        <f t="shared" si="1"/>
        <v>2925</v>
      </c>
    </row>
    <row r="50" spans="1:8">
      <c r="A50" s="81" t="s">
        <v>16</v>
      </c>
      <c r="B50" s="84" t="s">
        <v>52</v>
      </c>
      <c r="C50" s="128">
        <v>64417</v>
      </c>
      <c r="D50" s="122">
        <v>50673</v>
      </c>
      <c r="E50" s="122">
        <v>32546</v>
      </c>
      <c r="F50" s="122">
        <v>48208</v>
      </c>
      <c r="G50" s="122">
        <f t="shared" si="1"/>
        <v>195844</v>
      </c>
    </row>
    <row r="51" spans="1:8">
      <c r="A51" s="81" t="s">
        <v>22</v>
      </c>
      <c r="B51" s="84" t="s">
        <v>53</v>
      </c>
      <c r="C51" s="122">
        <v>1233</v>
      </c>
      <c r="D51" s="122">
        <v>1706</v>
      </c>
      <c r="E51" s="128">
        <v>3028</v>
      </c>
      <c r="F51" s="128">
        <v>4904</v>
      </c>
      <c r="G51" s="122">
        <f t="shared" si="1"/>
        <v>10871</v>
      </c>
    </row>
    <row r="52" spans="1:8">
      <c r="A52" s="81" t="s">
        <v>16</v>
      </c>
      <c r="B52" s="84" t="s">
        <v>54</v>
      </c>
      <c r="C52" s="122">
        <v>37240</v>
      </c>
      <c r="D52" s="122">
        <v>33458</v>
      </c>
      <c r="E52" s="122">
        <v>27690</v>
      </c>
      <c r="F52" s="122">
        <v>31173</v>
      </c>
      <c r="G52" s="122">
        <f t="shared" si="1"/>
        <v>129561</v>
      </c>
    </row>
    <row r="53" spans="1:8">
      <c r="A53" s="81" t="s">
        <v>16</v>
      </c>
      <c r="B53" s="84" t="s">
        <v>55</v>
      </c>
      <c r="C53" s="122">
        <v>137273</v>
      </c>
      <c r="D53" s="122">
        <v>67904</v>
      </c>
      <c r="E53" s="122">
        <v>56826</v>
      </c>
      <c r="F53" s="122">
        <v>72915</v>
      </c>
      <c r="G53" s="122">
        <f t="shared" si="1"/>
        <v>334918</v>
      </c>
    </row>
    <row r="54" spans="1:8">
      <c r="A54" s="81" t="s">
        <v>16</v>
      </c>
      <c r="B54" s="84" t="s">
        <v>56</v>
      </c>
      <c r="C54" s="122">
        <v>220379</v>
      </c>
      <c r="D54" s="122">
        <v>114460</v>
      </c>
      <c r="E54" s="122">
        <v>171121</v>
      </c>
      <c r="F54" s="122">
        <v>120313</v>
      </c>
      <c r="G54" s="122">
        <f t="shared" si="1"/>
        <v>626273</v>
      </c>
    </row>
    <row r="55" spans="1:8">
      <c r="A55" s="86">
        <v>0.05</v>
      </c>
      <c r="B55" s="84" t="s">
        <v>126</v>
      </c>
      <c r="C55" s="128">
        <v>1051</v>
      </c>
      <c r="D55" s="122">
        <v>1452</v>
      </c>
      <c r="E55" s="122">
        <v>705</v>
      </c>
      <c r="F55" s="122">
        <v>604</v>
      </c>
      <c r="G55" s="122">
        <f t="shared" si="1"/>
        <v>3812</v>
      </c>
      <c r="H55" t="s">
        <v>0</v>
      </c>
    </row>
    <row r="56" spans="1:8">
      <c r="A56" s="86">
        <v>0.05</v>
      </c>
      <c r="B56" s="84" t="s">
        <v>57</v>
      </c>
      <c r="C56" s="122">
        <v>83242</v>
      </c>
      <c r="D56" s="122">
        <v>87003</v>
      </c>
      <c r="E56" s="122">
        <v>60639</v>
      </c>
      <c r="F56" s="122">
        <v>81615</v>
      </c>
      <c r="G56" s="122">
        <f t="shared" si="1"/>
        <v>312499</v>
      </c>
    </row>
    <row r="57" spans="1:8">
      <c r="A57" s="81" t="s">
        <v>16</v>
      </c>
      <c r="B57" s="84" t="s">
        <v>58</v>
      </c>
      <c r="C57" s="122">
        <v>294386</v>
      </c>
      <c r="D57" s="122">
        <v>258389</v>
      </c>
      <c r="E57" s="122">
        <v>239996</v>
      </c>
      <c r="F57" s="122">
        <v>267876</v>
      </c>
      <c r="G57" s="122">
        <f t="shared" si="1"/>
        <v>1060647</v>
      </c>
    </row>
    <row r="58" spans="1:8">
      <c r="A58" s="93" t="s">
        <v>16</v>
      </c>
      <c r="B58" s="84" t="s">
        <v>59</v>
      </c>
      <c r="C58" s="128">
        <v>422933</v>
      </c>
      <c r="D58" s="122">
        <v>231053</v>
      </c>
      <c r="E58" s="122">
        <v>308301</v>
      </c>
      <c r="F58" s="122">
        <v>236047</v>
      </c>
      <c r="G58" s="122">
        <f t="shared" si="1"/>
        <v>1198334</v>
      </c>
    </row>
    <row r="59" spans="1:8">
      <c r="A59" s="81" t="s">
        <v>16</v>
      </c>
      <c r="B59" s="84" t="s">
        <v>60</v>
      </c>
      <c r="C59" s="122">
        <v>68674</v>
      </c>
      <c r="D59" s="122">
        <v>35747</v>
      </c>
      <c r="E59" s="122">
        <v>31512</v>
      </c>
      <c r="F59" s="122">
        <v>33798</v>
      </c>
      <c r="G59" s="122">
        <f t="shared" si="1"/>
        <v>169731</v>
      </c>
    </row>
    <row r="60" spans="1:8">
      <c r="A60" s="86">
        <v>0.05</v>
      </c>
      <c r="B60" s="94" t="s">
        <v>78</v>
      </c>
      <c r="C60" s="122">
        <v>1901413</v>
      </c>
      <c r="D60" s="122">
        <v>1445941</v>
      </c>
      <c r="E60" s="122">
        <v>1205153</v>
      </c>
      <c r="F60" s="122">
        <v>1414806</v>
      </c>
      <c r="G60" s="122">
        <f t="shared" si="1"/>
        <v>5967313</v>
      </c>
    </row>
    <row r="61" spans="1:8">
      <c r="A61" s="86">
        <v>0.02</v>
      </c>
      <c r="B61" s="94" t="s">
        <v>140</v>
      </c>
      <c r="C61" s="122">
        <v>760565</v>
      </c>
      <c r="D61" s="122">
        <v>578377</v>
      </c>
      <c r="E61" s="122">
        <v>482061</v>
      </c>
      <c r="F61" s="122">
        <v>565922</v>
      </c>
      <c r="G61" s="122">
        <f t="shared" si="1"/>
        <v>2386925</v>
      </c>
    </row>
    <row r="62" spans="1:8">
      <c r="A62" s="86">
        <v>0.05</v>
      </c>
      <c r="B62" s="84" t="s">
        <v>61</v>
      </c>
      <c r="C62" s="122">
        <v>138642</v>
      </c>
      <c r="D62" s="122">
        <v>112539</v>
      </c>
      <c r="E62" s="122">
        <v>74461</v>
      </c>
      <c r="F62" s="128">
        <v>140806</v>
      </c>
      <c r="G62" s="122">
        <f t="shared" si="1"/>
        <v>466448</v>
      </c>
      <c r="H62" t="s">
        <v>0</v>
      </c>
    </row>
    <row r="63" spans="1:8">
      <c r="A63" s="81" t="s">
        <v>16</v>
      </c>
      <c r="B63" s="84" t="s">
        <v>62</v>
      </c>
      <c r="C63" s="122">
        <v>77020</v>
      </c>
      <c r="D63" s="122">
        <v>54266</v>
      </c>
      <c r="E63" s="128">
        <v>49558</v>
      </c>
      <c r="F63" s="128">
        <v>62808</v>
      </c>
      <c r="G63" s="122">
        <f t="shared" si="1"/>
        <v>243652</v>
      </c>
    </row>
    <row r="64" spans="1:8">
      <c r="A64" s="86">
        <v>0.05</v>
      </c>
      <c r="B64" s="84" t="s">
        <v>63</v>
      </c>
      <c r="C64" s="122">
        <v>93060</v>
      </c>
      <c r="D64" s="122">
        <v>100052</v>
      </c>
      <c r="E64" s="128">
        <v>88429</v>
      </c>
      <c r="F64" s="122">
        <v>96743</v>
      </c>
      <c r="G64" s="122">
        <f t="shared" si="1"/>
        <v>378284</v>
      </c>
    </row>
    <row r="65" spans="1:7">
      <c r="A65" s="81" t="s">
        <v>22</v>
      </c>
      <c r="B65" s="84" t="s">
        <v>127</v>
      </c>
      <c r="C65" s="122">
        <v>1424</v>
      </c>
      <c r="D65" s="122">
        <v>895</v>
      </c>
      <c r="E65" s="122">
        <v>844</v>
      </c>
      <c r="F65" s="122">
        <v>996</v>
      </c>
      <c r="G65" s="122">
        <f t="shared" si="1"/>
        <v>4159</v>
      </c>
    </row>
    <row r="66" spans="1:7">
      <c r="A66" s="86">
        <v>0.05</v>
      </c>
      <c r="B66" s="84" t="s">
        <v>65</v>
      </c>
      <c r="C66" s="122">
        <v>329639</v>
      </c>
      <c r="D66" s="122">
        <v>248605</v>
      </c>
      <c r="E66" s="122">
        <v>194423</v>
      </c>
      <c r="F66" s="122">
        <v>237203</v>
      </c>
      <c r="G66" s="122">
        <f t="shared" si="1"/>
        <v>1009870</v>
      </c>
    </row>
    <row r="67" spans="1:7">
      <c r="A67" s="91" t="s">
        <v>16</v>
      </c>
      <c r="B67" s="84" t="s">
        <v>66</v>
      </c>
      <c r="C67" s="122">
        <v>17633</v>
      </c>
      <c r="D67" s="122">
        <v>28986</v>
      </c>
      <c r="E67" s="122">
        <v>181018</v>
      </c>
      <c r="F67" s="122">
        <v>74222.28</v>
      </c>
      <c r="G67" s="122">
        <f t="shared" si="1"/>
        <v>301859.28000000003</v>
      </c>
    </row>
    <row r="68" spans="1:7">
      <c r="A68" s="81" t="s">
        <v>16</v>
      </c>
      <c r="B68" s="84" t="s">
        <v>67</v>
      </c>
      <c r="C68" s="122">
        <v>49530</v>
      </c>
      <c r="D68" s="122">
        <v>47887</v>
      </c>
      <c r="E68" s="122">
        <v>57451</v>
      </c>
      <c r="F68" s="122">
        <v>62697</v>
      </c>
      <c r="G68" s="122">
        <f t="shared" si="1"/>
        <v>217565</v>
      </c>
    </row>
    <row r="69" spans="1:7">
      <c r="A69" s="81" t="s">
        <v>16</v>
      </c>
      <c r="B69" s="84" t="s">
        <v>68</v>
      </c>
      <c r="C69" s="122">
        <v>160743</v>
      </c>
      <c r="D69" s="122">
        <v>115028</v>
      </c>
      <c r="E69" s="122">
        <v>118460</v>
      </c>
      <c r="F69" s="122">
        <v>165541</v>
      </c>
      <c r="G69" s="122">
        <f t="shared" si="1"/>
        <v>559772</v>
      </c>
    </row>
    <row r="70" spans="1:7">
      <c r="A70" s="91" t="s">
        <v>16</v>
      </c>
      <c r="B70" s="84" t="s">
        <v>81</v>
      </c>
      <c r="C70" s="122">
        <v>39174</v>
      </c>
      <c r="D70" s="122">
        <v>12864</v>
      </c>
      <c r="E70" s="128">
        <v>11551</v>
      </c>
      <c r="F70" s="122">
        <v>8007</v>
      </c>
      <c r="G70" s="122">
        <f t="shared" si="1"/>
        <v>71596</v>
      </c>
    </row>
    <row r="71" spans="1:7">
      <c r="A71" s="81" t="s">
        <v>22</v>
      </c>
      <c r="B71" s="84" t="s">
        <v>69</v>
      </c>
      <c r="C71" s="122">
        <v>460</v>
      </c>
      <c r="D71" s="122">
        <v>401</v>
      </c>
      <c r="E71" s="122">
        <v>431</v>
      </c>
      <c r="F71" s="122">
        <v>761</v>
      </c>
      <c r="G71" s="122">
        <f t="shared" si="1"/>
        <v>2053</v>
      </c>
    </row>
    <row r="72" spans="1:7">
      <c r="A72" s="45"/>
      <c r="B72" s="46"/>
      <c r="C72" s="122"/>
      <c r="D72" s="122"/>
      <c r="E72" s="122"/>
      <c r="F72" s="122"/>
      <c r="G72" s="122"/>
    </row>
    <row r="73" spans="1:7">
      <c r="A73" s="67"/>
      <c r="B73" s="125" t="s">
        <v>70</v>
      </c>
      <c r="C73" s="122">
        <f>SUM(C8:C72)</f>
        <v>11971262.629999999</v>
      </c>
      <c r="D73" s="122">
        <f>SUM(D8:D72)</f>
        <v>8713980.2400000002</v>
      </c>
      <c r="E73" s="122">
        <f>SUM(E8:E72)</f>
        <v>8542921.0299999993</v>
      </c>
      <c r="F73" s="122">
        <f>SUM(F8:F72)</f>
        <v>10773101.380000001</v>
      </c>
      <c r="G73" s="122">
        <f>SUM(G8:G72)</f>
        <v>40001265.280000001</v>
      </c>
    </row>
    <row r="74" spans="1:7">
      <c r="A74" t="s">
        <v>0</v>
      </c>
      <c r="G74">
        <f>C73+D73+E73+F73</f>
        <v>40001265.280000001</v>
      </c>
    </row>
    <row r="75" spans="1:7">
      <c r="A75" t="s">
        <v>0</v>
      </c>
    </row>
    <row r="76" spans="1:7">
      <c r="A76" s="135" t="s">
        <v>138</v>
      </c>
    </row>
    <row r="78" spans="1:7">
      <c r="A78" t="s">
        <v>143</v>
      </c>
    </row>
    <row r="79" spans="1:7">
      <c r="A79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1"/>
  <sheetViews>
    <sheetView zoomScaleNormal="100" workbookViewId="0">
      <selection activeCell="B1" sqref="B1"/>
    </sheetView>
  </sheetViews>
  <sheetFormatPr defaultRowHeight="15"/>
  <cols>
    <col min="1" max="1" width="2.90625" customWidth="1"/>
    <col min="2" max="2" width="17.1796875" customWidth="1"/>
    <col min="3" max="3" width="6.81640625" customWidth="1"/>
    <col min="5" max="5" width="11.1796875" customWidth="1"/>
    <col min="6" max="9" width="10.6328125" customWidth="1"/>
    <col min="10" max="10" width="12.1796875" customWidth="1"/>
    <col min="11" max="11" width="13.7265625" style="160" customWidth="1"/>
    <col min="12" max="12" width="29.453125" customWidth="1"/>
  </cols>
  <sheetData>
    <row r="1" spans="1:18">
      <c r="B1" s="179"/>
      <c r="H1" s="179"/>
      <c r="I1" s="179"/>
      <c r="J1" s="179"/>
    </row>
    <row r="2" spans="1:18" ht="15.6">
      <c r="A2" s="179"/>
      <c r="B2" s="151"/>
      <c r="C2" s="181"/>
      <c r="D2" s="181"/>
      <c r="E2" s="182" t="s">
        <v>82</v>
      </c>
      <c r="F2" s="183" t="s">
        <v>83</v>
      </c>
      <c r="G2" s="181"/>
      <c r="H2" s="184"/>
      <c r="I2" s="184"/>
      <c r="J2" s="148"/>
    </row>
    <row r="3" spans="1:18">
      <c r="B3" s="185"/>
      <c r="C3" s="186"/>
      <c r="D3" s="187" t="s">
        <v>146</v>
      </c>
      <c r="E3" s="179"/>
      <c r="F3" s="179"/>
      <c r="G3" s="186"/>
      <c r="H3" s="179"/>
      <c r="I3" s="179"/>
      <c r="J3" s="146"/>
    </row>
    <row r="4" spans="1:18" ht="15.6">
      <c r="B4" s="188" t="s">
        <v>133</v>
      </c>
      <c r="C4" s="186"/>
      <c r="D4" s="186"/>
      <c r="E4" s="186"/>
      <c r="F4" s="189" t="s">
        <v>150</v>
      </c>
      <c r="G4" s="186"/>
      <c r="H4" s="179"/>
      <c r="I4" s="179"/>
      <c r="J4" s="147"/>
    </row>
    <row r="5" spans="1:18">
      <c r="B5" s="190"/>
      <c r="C5" s="8"/>
      <c r="D5" s="8"/>
      <c r="E5" s="8"/>
      <c r="F5" s="56"/>
      <c r="G5" s="56"/>
      <c r="H5" s="56"/>
      <c r="I5" s="56"/>
      <c r="J5" s="56"/>
    </row>
    <row r="6" spans="1:18">
      <c r="B6" s="191"/>
      <c r="C6" s="192"/>
      <c r="D6" s="192"/>
      <c r="E6" s="192"/>
      <c r="F6" s="57" t="s">
        <v>86</v>
      </c>
      <c r="G6" s="57" t="s">
        <v>87</v>
      </c>
      <c r="H6" s="57" t="s">
        <v>88</v>
      </c>
      <c r="I6" s="57" t="s">
        <v>89</v>
      </c>
      <c r="J6" s="115"/>
    </row>
    <row r="7" spans="1:18">
      <c r="B7" s="191"/>
      <c r="C7" s="192"/>
      <c r="D7" s="192"/>
      <c r="E7" s="192"/>
      <c r="F7" s="57" t="s">
        <v>72</v>
      </c>
      <c r="G7" s="57" t="s">
        <v>72</v>
      </c>
      <c r="H7" s="57" t="s">
        <v>72</v>
      </c>
      <c r="I7" s="57" t="s">
        <v>72</v>
      </c>
      <c r="J7" s="57" t="s">
        <v>9</v>
      </c>
    </row>
    <row r="8" spans="1:18" ht="24.6">
      <c r="B8" s="193" t="s">
        <v>145</v>
      </c>
      <c r="C8" s="192"/>
      <c r="D8" s="134" t="s">
        <v>90</v>
      </c>
      <c r="E8" s="192"/>
      <c r="F8" s="121" t="s">
        <v>91</v>
      </c>
      <c r="G8" s="121" t="s">
        <v>92</v>
      </c>
      <c r="H8" s="121" t="s">
        <v>93</v>
      </c>
      <c r="I8" s="121" t="s">
        <v>94</v>
      </c>
      <c r="J8" s="121" t="s">
        <v>15</v>
      </c>
      <c r="K8" s="161"/>
    </row>
    <row r="9" spans="1:18">
      <c r="B9" s="194"/>
      <c r="C9" s="2"/>
      <c r="D9" s="2"/>
      <c r="E9" s="2"/>
      <c r="F9" s="113"/>
      <c r="G9" s="113"/>
      <c r="H9" s="113"/>
      <c r="I9" s="113"/>
      <c r="J9" s="123"/>
    </row>
    <row r="10" spans="1:18" ht="16.8">
      <c r="B10" s="195" t="s">
        <v>16</v>
      </c>
      <c r="C10" s="18"/>
      <c r="D10" s="18" t="s">
        <v>148</v>
      </c>
      <c r="E10" s="18"/>
      <c r="F10" s="155">
        <v>72560.78</v>
      </c>
      <c r="G10" s="155">
        <v>40632.229999999996</v>
      </c>
      <c r="H10" s="155">
        <v>39735.400000000009</v>
      </c>
      <c r="I10" s="155">
        <v>37820.550000000003</v>
      </c>
      <c r="J10" s="129">
        <f>F10+G10+H10+I10</f>
        <v>190748.96000000002</v>
      </c>
    </row>
    <row r="11" spans="1:18">
      <c r="B11" s="194"/>
      <c r="C11" s="2"/>
      <c r="D11" s="2"/>
      <c r="E11" s="2"/>
      <c r="F11" s="156"/>
      <c r="G11" s="156"/>
      <c r="H11" s="156"/>
      <c r="I11" s="156"/>
      <c r="J11" s="123"/>
    </row>
    <row r="12" spans="1:18" ht="16.8">
      <c r="B12" s="195" t="s">
        <v>16</v>
      </c>
      <c r="C12" s="18"/>
      <c r="D12" s="18" t="s">
        <v>95</v>
      </c>
      <c r="E12" s="18"/>
      <c r="F12" s="155">
        <v>18256.669999999998</v>
      </c>
      <c r="G12" s="155">
        <v>17311.980000000003</v>
      </c>
      <c r="H12" s="155">
        <v>35478.879999999997</v>
      </c>
      <c r="I12" s="155">
        <v>31959.640000000007</v>
      </c>
      <c r="J12" s="129">
        <f>F12+G12+H12+I12</f>
        <v>103007.17000000001</v>
      </c>
    </row>
    <row r="13" spans="1:18" ht="16.8">
      <c r="B13" s="196"/>
      <c r="C13" s="197"/>
      <c r="D13" s="197" t="s">
        <v>0</v>
      </c>
      <c r="E13" s="197"/>
      <c r="F13" s="156"/>
      <c r="G13" s="156"/>
      <c r="H13" s="156"/>
      <c r="I13" s="156"/>
      <c r="J13" s="123"/>
    </row>
    <row r="14" spans="1:18" ht="16.8">
      <c r="B14" s="198">
        <v>0.05</v>
      </c>
      <c r="C14" s="18"/>
      <c r="D14" s="150" t="s">
        <v>96</v>
      </c>
      <c r="E14" s="18"/>
      <c r="F14" s="158">
        <v>24341</v>
      </c>
      <c r="G14" s="155">
        <v>26286.17</v>
      </c>
      <c r="H14" s="158">
        <v>18691.540000000008</v>
      </c>
      <c r="I14" s="159">
        <v>30681.279999999999</v>
      </c>
      <c r="J14" s="129">
        <f>F14+G14+H14+I14</f>
        <v>99999.99</v>
      </c>
    </row>
    <row r="15" spans="1:18" ht="16.8">
      <c r="B15" s="196"/>
      <c r="C15" s="197"/>
      <c r="D15" s="197" t="s">
        <v>0</v>
      </c>
      <c r="E15" s="197"/>
      <c r="F15" s="156"/>
      <c r="G15" s="156"/>
      <c r="H15" s="156"/>
      <c r="I15" s="156"/>
      <c r="J15" s="123"/>
    </row>
    <row r="16" spans="1:18" ht="16.8">
      <c r="B16" s="199">
        <v>0.05</v>
      </c>
      <c r="C16" s="18"/>
      <c r="D16" s="150" t="s">
        <v>166</v>
      </c>
      <c r="E16" s="18"/>
      <c r="F16" s="159">
        <v>180.85</v>
      </c>
      <c r="G16" s="159">
        <v>-180.85</v>
      </c>
      <c r="H16" s="159">
        <v>0</v>
      </c>
      <c r="I16" s="159">
        <v>3367.39</v>
      </c>
      <c r="J16" s="129">
        <f>F16+G16+H16+I16</f>
        <v>3367.39</v>
      </c>
      <c r="K16" s="180" t="s">
        <v>165</v>
      </c>
      <c r="L16" s="172"/>
      <c r="M16" s="172"/>
      <c r="N16" s="172"/>
      <c r="O16" s="172"/>
      <c r="P16" s="172"/>
      <c r="Q16" s="172"/>
      <c r="R16" s="172"/>
    </row>
    <row r="17" spans="2:18" ht="16.8">
      <c r="B17" s="196"/>
      <c r="C17" s="197"/>
      <c r="D17" s="197" t="s">
        <v>0</v>
      </c>
      <c r="E17" s="197"/>
      <c r="F17" s="156"/>
      <c r="G17" s="156"/>
      <c r="H17" s="156"/>
      <c r="I17" s="156"/>
      <c r="J17" s="123"/>
    </row>
    <row r="18" spans="2:18" ht="16.8">
      <c r="B18" s="198">
        <v>0.05</v>
      </c>
      <c r="C18" s="18"/>
      <c r="D18" s="18" t="s">
        <v>97</v>
      </c>
      <c r="E18" s="18"/>
      <c r="F18" s="158">
        <v>174420.73</v>
      </c>
      <c r="G18" s="155">
        <v>113729.4</v>
      </c>
      <c r="H18" s="158">
        <v>121703.44000000003</v>
      </c>
      <c r="I18" s="159">
        <v>92543.479999999952</v>
      </c>
      <c r="J18" s="129">
        <f>F18+G18+H18+I18</f>
        <v>502397.05000000005</v>
      </c>
    </row>
    <row r="19" spans="2:18" ht="16.8">
      <c r="B19" s="196"/>
      <c r="C19" s="197"/>
      <c r="D19" s="197" t="s">
        <v>0</v>
      </c>
      <c r="E19" s="197"/>
      <c r="F19" s="157"/>
      <c r="G19" s="157"/>
      <c r="H19" s="157"/>
      <c r="I19" s="157"/>
      <c r="J19" s="123"/>
    </row>
    <row r="20" spans="2:18" ht="16.8">
      <c r="B20" s="200">
        <v>0.05</v>
      </c>
      <c r="C20" s="39"/>
      <c r="D20" s="43" t="s">
        <v>47</v>
      </c>
      <c r="E20" s="39"/>
      <c r="F20" s="158">
        <v>127667</v>
      </c>
      <c r="G20" s="155">
        <v>120789</v>
      </c>
      <c r="H20" s="158">
        <v>93848</v>
      </c>
      <c r="I20" s="159">
        <v>121600</v>
      </c>
      <c r="J20" s="129">
        <v>463904</v>
      </c>
      <c r="L20" s="167"/>
      <c r="M20" s="167"/>
      <c r="N20" s="167"/>
    </row>
    <row r="21" spans="2:18" ht="16.8">
      <c r="B21" s="196"/>
      <c r="C21" s="197"/>
      <c r="D21" s="197"/>
      <c r="E21" s="197"/>
      <c r="F21" s="157"/>
      <c r="G21" s="157"/>
      <c r="H21" s="157"/>
      <c r="I21" s="157"/>
      <c r="J21" s="123"/>
    </row>
    <row r="22" spans="2:18" ht="16.8">
      <c r="B22" s="200">
        <v>0.05</v>
      </c>
      <c r="C22" s="18"/>
      <c r="D22" s="18" t="s">
        <v>98</v>
      </c>
      <c r="E22" s="116" t="s">
        <v>0</v>
      </c>
      <c r="F22" s="159">
        <v>198.15</v>
      </c>
      <c r="G22" s="159">
        <v>602.89</v>
      </c>
      <c r="H22" s="159">
        <v>646.77</v>
      </c>
      <c r="I22" s="159">
        <v>997.17000000000019</v>
      </c>
      <c r="J22" s="129">
        <f>F22+G22+H22+I22</f>
        <v>2444.98</v>
      </c>
    </row>
    <row r="23" spans="2:18" ht="16.8">
      <c r="B23" s="196"/>
      <c r="C23" s="197"/>
      <c r="D23" s="197" t="s">
        <v>0</v>
      </c>
      <c r="E23" s="197"/>
      <c r="F23" s="156"/>
      <c r="G23" s="156"/>
      <c r="H23" s="156"/>
      <c r="I23" s="156"/>
      <c r="J23" s="123"/>
    </row>
    <row r="24" spans="2:18" ht="16.8">
      <c r="B24" s="198">
        <v>0.05</v>
      </c>
      <c r="C24" s="18"/>
      <c r="D24" s="18" t="s">
        <v>100</v>
      </c>
      <c r="E24" s="18"/>
      <c r="F24" s="158">
        <v>59349.07</v>
      </c>
      <c r="G24" s="155">
        <v>46603.26</v>
      </c>
      <c r="H24" s="158">
        <v>20747.69999999999</v>
      </c>
      <c r="I24" s="159">
        <v>43922.250000000007</v>
      </c>
      <c r="J24" s="129">
        <f>F24+G24+H24+I24</f>
        <v>170622.28</v>
      </c>
    </row>
    <row r="25" spans="2:18" ht="16.8">
      <c r="B25" s="196"/>
      <c r="C25" s="197"/>
      <c r="D25" s="197"/>
      <c r="E25" s="197"/>
      <c r="F25" s="156"/>
      <c r="G25" s="156"/>
      <c r="H25" s="156"/>
      <c r="I25" s="156"/>
      <c r="J25" s="123"/>
    </row>
    <row r="26" spans="2:18" ht="16.8">
      <c r="B26" s="198">
        <v>0.05</v>
      </c>
      <c r="C26" s="18"/>
      <c r="D26" s="150" t="s">
        <v>101</v>
      </c>
      <c r="E26" s="18"/>
      <c r="F26" s="158">
        <v>2504.84</v>
      </c>
      <c r="G26" s="155">
        <v>6810.2199999999993</v>
      </c>
      <c r="H26" s="158">
        <v>3806.83</v>
      </c>
      <c r="I26" s="159">
        <v>1736.5300000000007</v>
      </c>
      <c r="J26" s="129">
        <f t="shared" ref="J26" si="0">F26+G26+H26+I26</f>
        <v>14858.42</v>
      </c>
      <c r="K26" s="160" t="s">
        <v>0</v>
      </c>
      <c r="L26" s="176"/>
      <c r="M26" s="176"/>
      <c r="N26" s="176"/>
      <c r="O26" s="176"/>
      <c r="P26" s="176"/>
    </row>
    <row r="27" spans="2:18" ht="16.8">
      <c r="B27" s="196"/>
      <c r="C27" s="197"/>
      <c r="D27" s="197"/>
      <c r="E27" s="197"/>
      <c r="F27" s="156"/>
      <c r="G27" s="156"/>
      <c r="H27" s="156"/>
      <c r="I27" s="156"/>
      <c r="J27" s="123"/>
    </row>
    <row r="28" spans="2:18" ht="16.8">
      <c r="B28" s="199">
        <v>0.05</v>
      </c>
      <c r="C28" s="18"/>
      <c r="D28" s="18" t="s">
        <v>167</v>
      </c>
      <c r="E28" s="18"/>
      <c r="F28" s="159">
        <v>21617.68</v>
      </c>
      <c r="G28" s="159">
        <v>4701.4799999999996</v>
      </c>
      <c r="H28" s="159">
        <v>-2011.0099999999984</v>
      </c>
      <c r="I28" s="159">
        <v>-10982.000000000002</v>
      </c>
      <c r="J28" s="129">
        <f>F28+G28+H28+I28</f>
        <v>13326.15</v>
      </c>
      <c r="K28" s="180"/>
      <c r="N28" s="172"/>
      <c r="O28" s="172"/>
      <c r="P28" s="172"/>
      <c r="Q28" s="172"/>
      <c r="R28" s="172"/>
    </row>
    <row r="29" spans="2:18" ht="16.8">
      <c r="B29" s="196"/>
      <c r="C29" s="197"/>
      <c r="D29" s="197" t="s">
        <v>0</v>
      </c>
      <c r="E29" s="197"/>
      <c r="F29" s="177"/>
      <c r="G29" s="177"/>
      <c r="H29" s="177"/>
      <c r="I29" s="177"/>
      <c r="J29" s="123"/>
    </row>
    <row r="30" spans="2:18" ht="16.8">
      <c r="B30" s="198">
        <v>0.05</v>
      </c>
      <c r="C30" s="18"/>
      <c r="D30" s="150" t="s">
        <v>103</v>
      </c>
      <c r="E30" s="18"/>
      <c r="F30" s="159">
        <v>687055</v>
      </c>
      <c r="G30" s="159">
        <v>642686</v>
      </c>
      <c r="H30" s="159">
        <v>458446</v>
      </c>
      <c r="I30" s="159">
        <v>715654</v>
      </c>
      <c r="J30" s="129">
        <f>SUM(F30:I30)</f>
        <v>2503841</v>
      </c>
    </row>
    <row r="31" spans="2:18" ht="16.8">
      <c r="B31" s="196"/>
      <c r="C31" s="197"/>
      <c r="D31" s="197" t="s">
        <v>0</v>
      </c>
      <c r="E31" s="197"/>
      <c r="F31" s="177"/>
      <c r="G31" s="177"/>
      <c r="H31" s="177"/>
      <c r="I31" s="177"/>
      <c r="J31" s="123"/>
    </row>
    <row r="32" spans="2:18" ht="16.8">
      <c r="B32" s="199">
        <v>0.05</v>
      </c>
      <c r="C32" s="18"/>
      <c r="D32" s="150" t="s">
        <v>168</v>
      </c>
      <c r="E32" s="18"/>
      <c r="F32" s="159">
        <v>2522.7600000000002</v>
      </c>
      <c r="G32" s="159">
        <v>3533.45</v>
      </c>
      <c r="H32" s="159">
        <v>-6056.21</v>
      </c>
      <c r="I32" s="159">
        <v>9707.56</v>
      </c>
      <c r="J32" s="129">
        <f>F32+G32+H32+I32</f>
        <v>9707.56</v>
      </c>
      <c r="K32" s="180"/>
      <c r="L32" s="172"/>
      <c r="M32" s="172"/>
      <c r="N32" s="172"/>
      <c r="O32" s="172"/>
      <c r="P32" s="172"/>
      <c r="Q32" s="172"/>
      <c r="R32" s="172"/>
    </row>
    <row r="33" spans="2:18" ht="16.8">
      <c r="B33" s="196"/>
      <c r="C33" s="197"/>
      <c r="D33" s="197"/>
      <c r="E33" s="197"/>
      <c r="F33" s="177"/>
      <c r="G33" s="177"/>
      <c r="H33" s="177"/>
      <c r="I33" s="177"/>
      <c r="J33" s="123"/>
    </row>
    <row r="34" spans="2:18" ht="16.8">
      <c r="B34" s="198">
        <v>0.03</v>
      </c>
      <c r="C34" s="18"/>
      <c r="D34" s="18" t="s">
        <v>63</v>
      </c>
      <c r="E34" s="18"/>
      <c r="F34" s="159">
        <v>1064.07</v>
      </c>
      <c r="G34" s="159">
        <v>1074.03</v>
      </c>
      <c r="H34" s="159">
        <v>1431.8200000000004</v>
      </c>
      <c r="I34" s="159">
        <v>843.33999999999969</v>
      </c>
      <c r="J34" s="129">
        <f>F34+G34+H34+I34</f>
        <v>4413.26</v>
      </c>
    </row>
    <row r="35" spans="2:18" ht="16.8">
      <c r="B35" s="196"/>
      <c r="C35" s="197"/>
      <c r="D35" s="197" t="s">
        <v>0</v>
      </c>
      <c r="E35" s="197"/>
      <c r="F35" s="177"/>
      <c r="G35" s="177"/>
      <c r="H35" s="177"/>
      <c r="I35" s="177"/>
      <c r="J35" s="123"/>
    </row>
    <row r="36" spans="2:18" ht="16.8">
      <c r="B36" s="198">
        <v>0.05</v>
      </c>
      <c r="C36" s="18"/>
      <c r="D36" s="18" t="s">
        <v>169</v>
      </c>
      <c r="E36" s="117"/>
      <c r="F36" s="159">
        <v>357846.25</v>
      </c>
      <c r="G36" s="159">
        <v>-357846.25</v>
      </c>
      <c r="H36" s="159">
        <v>1075463.8799999999</v>
      </c>
      <c r="I36" s="159">
        <v>314879.95000000019</v>
      </c>
      <c r="J36" s="129">
        <f>F36+G36+H36+I36</f>
        <v>1390343.83</v>
      </c>
      <c r="K36" s="180"/>
      <c r="L36" s="172"/>
      <c r="M36" s="172"/>
      <c r="N36" s="172"/>
      <c r="O36" s="172"/>
      <c r="P36" s="172"/>
      <c r="Q36" s="172"/>
      <c r="R36" s="172"/>
    </row>
    <row r="37" spans="2:18" ht="16.8">
      <c r="B37" s="201"/>
      <c r="C37" s="197"/>
      <c r="D37" s="197"/>
      <c r="E37" s="197"/>
      <c r="F37" s="113"/>
      <c r="G37" s="113"/>
      <c r="H37" s="113"/>
      <c r="I37" s="113"/>
      <c r="J37" s="113"/>
    </row>
    <row r="38" spans="2:18" ht="16.8">
      <c r="B38" s="202"/>
      <c r="C38" s="43"/>
      <c r="D38" s="43" t="s">
        <v>105</v>
      </c>
      <c r="E38" s="117"/>
      <c r="F38" s="114">
        <f>SUM(F10:F36)</f>
        <v>1549584.85</v>
      </c>
      <c r="G38" s="114">
        <f t="shared" ref="G38:I38" si="1">SUM(G10:G36)</f>
        <v>666733.01</v>
      </c>
      <c r="H38" s="114">
        <f t="shared" si="1"/>
        <v>1861933.04</v>
      </c>
      <c r="I38" s="114">
        <f t="shared" si="1"/>
        <v>1394731.1400000004</v>
      </c>
      <c r="J38" s="114">
        <f>J10+J12+J14+J16+J18+J20+J22+J24+J26+J28+J30+J32+J34+J36</f>
        <v>5472982.0399999991</v>
      </c>
    </row>
    <row r="39" spans="2:18">
      <c r="B39" s="225"/>
      <c r="C39" s="181"/>
      <c r="D39" s="181"/>
      <c r="E39" s="181"/>
      <c r="F39" s="184"/>
      <c r="G39" s="184"/>
      <c r="H39" s="184"/>
      <c r="I39" s="184"/>
      <c r="J39" s="148">
        <f>F38+G38+H38+I38</f>
        <v>5472982.040000001</v>
      </c>
    </row>
    <row r="40" spans="2:18">
      <c r="B40" s="171" t="s">
        <v>164</v>
      </c>
      <c r="C40" s="203"/>
      <c r="D40" s="179"/>
      <c r="E40" s="179"/>
      <c r="F40" s="179"/>
      <c r="G40" s="179"/>
      <c r="H40" s="179"/>
      <c r="I40" s="179"/>
      <c r="J40" s="146"/>
    </row>
    <row r="41" spans="2:18">
      <c r="B41" s="204" t="s">
        <v>162</v>
      </c>
      <c r="C41" s="205"/>
      <c r="D41" s="205"/>
      <c r="E41" s="205"/>
      <c r="F41" s="205"/>
      <c r="G41" s="205"/>
      <c r="H41" s="205"/>
      <c r="I41" s="205"/>
      <c r="J41" s="206"/>
    </row>
  </sheetData>
  <pageMargins left="0.7" right="0.7" top="0.75" bottom="0.75" header="0.3" footer="0.3"/>
  <pageSetup scale="79" orientation="landscape" r:id="rId1"/>
  <headerFooter>
    <oddFooter xml:space="preserve">&amp;L&amp;"SWISS,Bold"&amp;10Report Date:  </oddFooter>
  </headerFooter>
  <ignoredErrors>
    <ignoredError sqref="B10 B1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3AC4C3CE-E236-4BE4-AC38-B3F06F876AE5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LTaxCounty10</vt:lpstr>
      <vt:lpstr>LTaxMuni11</vt:lpstr>
      <vt:lpstr>LTaxCounty12</vt:lpstr>
      <vt:lpstr>LTaxMuni12</vt:lpstr>
      <vt:lpstr>LTax County 13</vt:lpstr>
      <vt:lpstr>LTax Muni 13</vt:lpstr>
      <vt:lpstr>LTax County 14</vt:lpstr>
      <vt:lpstr>LTax Muni 14</vt:lpstr>
      <vt:lpstr>LTax County 2024</vt:lpstr>
      <vt:lpstr>LTax Muni 2024</vt:lpstr>
      <vt:lpstr>'LTax County 2024'!Print_Area</vt:lpstr>
      <vt:lpstr>'LTax Muni 2024'!Print_Area</vt:lpstr>
      <vt:lpstr>LTaxCounty10!Print_Area</vt:lpstr>
      <vt:lpstr>'LTax Muni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Dixon</dc:creator>
  <cp:lastModifiedBy>West, Richard, DFA</cp:lastModifiedBy>
  <cp:lastPrinted>2023-05-01T18:40:46Z</cp:lastPrinted>
  <dcterms:created xsi:type="dcterms:W3CDTF">2000-10-10T16:59:58Z</dcterms:created>
  <dcterms:modified xsi:type="dcterms:W3CDTF">2026-05-04T18:53:53Z</dcterms:modified>
</cp:coreProperties>
</file>