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dreyB\Desktop\"/>
    </mc:Choice>
  </mc:AlternateContent>
  <xr:revisionPtr revIDLastSave="0" documentId="13_ncr:1_{FD31D127-5278-40B1-A3FB-65E69E1CD949}" xr6:coauthVersionLast="47" xr6:coauthVersionMax="47" xr10:uidLastSave="{00000000-0000-0000-0000-000000000000}"/>
  <workbookProtection workbookAlgorithmName="SHA-512" workbookHashValue="JusOdOQAXH9UwxlpcfSokuexX7QaOs7CP7+/61pH6AwcwW4FY8za/f81GavIOlCbmVtxJFX6TZT81Czc+8FNhA==" workbookSaltValue="aJslYrIOJ2ti0hYeTiSfFg==" workbookSpinCount="100000" lockStructure="1"/>
  <bookViews>
    <workbookView xWindow="-120" yWindow="-120" windowWidth="29040" windowHeight="17640" xr2:uid="{6A43302D-22BC-407C-A592-0F4CBDD9B0EB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2" i="1" l="1"/>
  <c r="E43" i="1"/>
  <c r="E38" i="1"/>
  <c r="B9" i="1"/>
  <c r="B15" i="1" s="1"/>
  <c r="B19" i="1" s="1"/>
  <c r="B38" i="1"/>
  <c r="B24" i="1"/>
  <c r="B23" i="1"/>
  <c r="B43" i="1"/>
  <c r="B21" i="1" l="1"/>
  <c r="B25" i="1" s="1"/>
  <c r="B11" i="1"/>
  <c r="B12" i="1"/>
  <c r="J50" i="2" l="1"/>
  <c r="J58" i="2" s="1"/>
  <c r="K58" i="2" s="1"/>
  <c r="G50" i="2"/>
  <c r="G58" i="2" s="1"/>
  <c r="H58" i="2" s="1"/>
  <c r="D50" i="2"/>
  <c r="D58" i="2" s="1"/>
  <c r="E58" i="2" s="1"/>
  <c r="D10" i="2"/>
  <c r="G10" i="2"/>
  <c r="J10" i="2"/>
  <c r="L58" i="2" l="1"/>
  <c r="E32" i="1" s="1"/>
  <c r="D54" i="2"/>
  <c r="G54" i="2"/>
  <c r="H54" i="2" s="1"/>
  <c r="J54" i="2"/>
  <c r="J20" i="2"/>
  <c r="K20" i="2" s="1"/>
  <c r="J14" i="2"/>
  <c r="G20" i="2"/>
  <c r="H20" i="2" s="1"/>
  <c r="G14" i="2"/>
  <c r="D20" i="2"/>
  <c r="E20" i="2" s="1"/>
  <c r="D14" i="2"/>
  <c r="E14" i="2" s="1"/>
  <c r="J55" i="2" l="1"/>
  <c r="K54" i="2"/>
  <c r="D55" i="2"/>
  <c r="E54" i="2"/>
  <c r="G55" i="2"/>
  <c r="H14" i="2"/>
  <c r="K14" i="2"/>
  <c r="L20" i="2"/>
  <c r="B34" i="1" s="1"/>
  <c r="J15" i="2"/>
  <c r="K15" i="2" s="1"/>
  <c r="G15" i="2"/>
  <c r="H15" i="2" s="1"/>
  <c r="D15" i="2"/>
  <c r="E15" i="2" s="1"/>
  <c r="G56" i="2" l="1"/>
  <c r="H56" i="2" s="1"/>
  <c r="H55" i="2"/>
  <c r="J56" i="2"/>
  <c r="J57" i="2" s="1"/>
  <c r="K55" i="2"/>
  <c r="L54" i="2"/>
  <c r="E28" i="1" s="1"/>
  <c r="D56" i="2"/>
  <c r="E55" i="2"/>
  <c r="L14" i="2"/>
  <c r="B28" i="1" s="1"/>
  <c r="L15" i="2"/>
  <c r="B29" i="1" s="1"/>
  <c r="D16" i="2"/>
  <c r="J16" i="2"/>
  <c r="K16" i="2" s="1"/>
  <c r="G16" i="2"/>
  <c r="H16" i="2" s="1"/>
  <c r="G57" i="2" l="1"/>
  <c r="G59" i="2" s="1"/>
  <c r="L55" i="2"/>
  <c r="E29" i="1" s="1"/>
  <c r="K56" i="2"/>
  <c r="D57" i="2"/>
  <c r="E57" i="2" s="1"/>
  <c r="E56" i="2"/>
  <c r="D17" i="2"/>
  <c r="E17" i="2" s="1"/>
  <c r="E16" i="2"/>
  <c r="L16" i="2" s="1"/>
  <c r="B30" i="1" s="1"/>
  <c r="G17" i="2"/>
  <c r="H17" i="2" s="1"/>
  <c r="J17" i="2"/>
  <c r="K17" i="2" s="1"/>
  <c r="E59" i="2" l="1"/>
  <c r="H57" i="2"/>
  <c r="H59" i="2" s="1"/>
  <c r="L56" i="2"/>
  <c r="E30" i="1" s="1"/>
  <c r="D59" i="2"/>
  <c r="J59" i="2"/>
  <c r="K57" i="2"/>
  <c r="K59" i="2" s="1"/>
  <c r="D18" i="2"/>
  <c r="E18" i="2" s="1"/>
  <c r="L17" i="2"/>
  <c r="B31" i="1" s="1"/>
  <c r="G18" i="2"/>
  <c r="H18" i="2" s="1"/>
  <c r="J18" i="2"/>
  <c r="L57" i="2" l="1"/>
  <c r="E31" i="1" s="1"/>
  <c r="E35" i="1" s="1"/>
  <c r="E37" i="1" s="1"/>
  <c r="E39" i="1" s="1"/>
  <c r="E42" i="1" s="1"/>
  <c r="E44" i="1" s="1"/>
  <c r="E46" i="1" s="1"/>
  <c r="D19" i="2"/>
  <c r="D21" i="2" s="1"/>
  <c r="J19" i="2"/>
  <c r="K19" i="2" s="1"/>
  <c r="K18" i="2"/>
  <c r="L18" i="2" s="1"/>
  <c r="B32" i="1" s="1"/>
  <c r="G19" i="2"/>
  <c r="G21" i="2" s="1"/>
  <c r="E19" i="2" l="1"/>
  <c r="E21" i="2" s="1"/>
  <c r="J21" i="2"/>
  <c r="K21" i="2"/>
  <c r="H19" i="2"/>
  <c r="L19" i="2" l="1"/>
  <c r="B33" i="1" s="1"/>
  <c r="B35" i="1" s="1"/>
  <c r="B37" i="1" s="1"/>
  <c r="B39" i="1" s="1"/>
  <c r="B42" i="1" s="1"/>
  <c r="B44" i="1" s="1"/>
  <c r="B46" i="1" s="1"/>
  <c r="H21" i="2"/>
</calcChain>
</file>

<file path=xl/sharedStrings.xml><?xml version="1.0" encoding="utf-8"?>
<sst xmlns="http://schemas.openxmlformats.org/spreadsheetml/2006/main" count="91" uniqueCount="55">
  <si>
    <t>EIN</t>
  </si>
  <si>
    <t>PPE</t>
  </si>
  <si>
    <t>Gross Pay</t>
  </si>
  <si>
    <t>Net SS Wages</t>
  </si>
  <si>
    <t>Pre tax Med</t>
  </si>
  <si>
    <t xml:space="preserve">PERA </t>
  </si>
  <si>
    <t>Pre tax Dental</t>
  </si>
  <si>
    <t>Def. Comp</t>
  </si>
  <si>
    <t>Pre tax Vision</t>
  </si>
  <si>
    <t>Subject to SS</t>
  </si>
  <si>
    <t>Subject to Fed WH</t>
  </si>
  <si>
    <t>Yearly Pay Periods</t>
  </si>
  <si>
    <t>Annualized Pay</t>
  </si>
  <si>
    <t>Wages subject to 10%</t>
  </si>
  <si>
    <t>Wages subject to 12%</t>
  </si>
  <si>
    <t>Additional WH</t>
  </si>
  <si>
    <t>Total Withholding</t>
  </si>
  <si>
    <t>Actual Withholding</t>
  </si>
  <si>
    <t>Difference</t>
  </si>
  <si>
    <t>Single</t>
  </si>
  <si>
    <t>Married</t>
  </si>
  <si>
    <t>Head of Household</t>
  </si>
  <si>
    <t>Wages subject to 22%</t>
  </si>
  <si>
    <t>Wages subject to 24%</t>
  </si>
  <si>
    <t>Wages subject to 32%</t>
  </si>
  <si>
    <t>Wages subject to 35%</t>
  </si>
  <si>
    <t>Wages subject to 37%</t>
  </si>
  <si>
    <t>Standard Deduction</t>
  </si>
  <si>
    <t>(Single=1, Married=2, Head of Household=3)</t>
  </si>
  <si>
    <t>Dependant Amount</t>
  </si>
  <si>
    <t>Other Income</t>
  </si>
  <si>
    <t>Deductions</t>
  </si>
  <si>
    <t>Extra Withholding</t>
  </si>
  <si>
    <t>Estimated tax wihholding</t>
  </si>
  <si>
    <t>Tax Status</t>
  </si>
  <si>
    <t>PER W-4</t>
  </si>
  <si>
    <t>Taxable Annualized Taxable Earnings</t>
  </si>
  <si>
    <t>Taxable Earnings</t>
  </si>
  <si>
    <t>Taxes</t>
  </si>
  <si>
    <t>Taxable Wages</t>
  </si>
  <si>
    <t>Tax Bracket</t>
  </si>
  <si>
    <t>Withholding per Pay Period</t>
  </si>
  <si>
    <t>FED OASDI (6.2%)</t>
  </si>
  <si>
    <t>FED MED (1.45%)</t>
  </si>
  <si>
    <t>W-4 setup in HCM</t>
  </si>
  <si>
    <t>From Self Service Pay Advice</t>
  </si>
  <si>
    <t>Federal Taxable Wages</t>
  </si>
  <si>
    <t>Wages subject to 1.7%</t>
  </si>
  <si>
    <t>Wages subject to 3.2%</t>
  </si>
  <si>
    <t>Wages subject to 4.7%</t>
  </si>
  <si>
    <t>Wages subject to 4.9%</t>
  </si>
  <si>
    <t>Wages subject to 5.9%</t>
  </si>
  <si>
    <t>State Taxes</t>
  </si>
  <si>
    <t>Federal Taxes</t>
  </si>
  <si>
    <t>Only input data in highlighted boxes!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</si>
</sst>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43" fontId="0" fillId="0" borderId="0" xfId="1" applyFont="1"/>
    <xf numFmtId="43" fontId="0" fillId="0" borderId="1" xfId="1" applyFont="1" applyBorder="1"/>
    <xf numFmtId="43" fontId="0" fillId="0" borderId="0" xfId="0" applyNumberFormat="1"/>
    <xf numFmtId="0" fontId="0" fillId="2" borderId="3" xfId="0" applyFill="1" applyBorder="1"/>
    <xf numFmtId="0" fontId="0" fillId="2" borderId="4" xfId="0" applyFill="1" applyBorder="1"/>
    <xf numFmtId="0" fontId="3" fillId="2" borderId="3" xfId="0" applyFont="1" applyFill="1" applyBorder="1"/>
    <xf numFmtId="0" fontId="3" fillId="2" borderId="5" xfId="0" applyFon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3" fontId="0" fillId="0" borderId="14" xfId="0" applyNumberFormat="1" applyBorder="1"/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43" fontId="0" fillId="0" borderId="13" xfId="1" applyFont="1" applyBorder="1"/>
    <xf numFmtId="43" fontId="0" fillId="0" borderId="0" xfId="1" applyFont="1" applyBorder="1"/>
    <xf numFmtId="43" fontId="0" fillId="0" borderId="17" xfId="1" applyFont="1" applyBorder="1"/>
    <xf numFmtId="43" fontId="0" fillId="0" borderId="18" xfId="1" applyFont="1" applyBorder="1"/>
    <xf numFmtId="43" fontId="0" fillId="0" borderId="19" xfId="1" applyFont="1" applyBorder="1"/>
    <xf numFmtId="43" fontId="0" fillId="0" borderId="20" xfId="1" applyFont="1" applyBorder="1"/>
    <xf numFmtId="0" fontId="0" fillId="0" borderId="0" xfId="1" applyNumberFormat="1" applyFont="1" applyBorder="1"/>
    <xf numFmtId="0" fontId="0" fillId="2" borderId="6" xfId="0" applyFill="1" applyBorder="1"/>
    <xf numFmtId="0" fontId="0" fillId="3" borderId="6" xfId="1" applyNumberFormat="1" applyFont="1" applyFill="1" applyBorder="1"/>
    <xf numFmtId="0" fontId="3" fillId="3" borderId="7" xfId="0" applyFont="1" applyFill="1" applyBorder="1"/>
    <xf numFmtId="0" fontId="0" fillId="3" borderId="2" xfId="0" applyFill="1" applyBorder="1"/>
    <xf numFmtId="0" fontId="0" fillId="3" borderId="7" xfId="0" applyFill="1" applyBorder="1"/>
    <xf numFmtId="43" fontId="0" fillId="4" borderId="0" xfId="1" applyFont="1" applyFill="1"/>
    <xf numFmtId="164" fontId="0" fillId="4" borderId="6" xfId="1" applyNumberFormat="1" applyFont="1" applyFill="1" applyBorder="1"/>
    <xf numFmtId="0" fontId="0" fillId="4" borderId="0" xfId="0" applyFill="1"/>
    <xf numFmtId="0" fontId="0" fillId="3" borderId="0" xfId="0" applyFill="1"/>
    <xf numFmtId="0" fontId="2" fillId="0" borderId="0" xfId="0" applyFont="1"/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731520</xdr:colOff>
      <xdr:row>0</xdr:row>
      <xdr:rowOff>0</xdr:rowOff>
    </xdr:from>
    <xdr:to>
      <xdr:col>9</xdr:col>
      <xdr:colOff>32385</xdr:colOff>
      <xdr:row>7</xdr:row>
      <xdr:rowOff>177209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5CD0EF-AEAC-4D65-B359-E666FEFA3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0920" y="0"/>
          <a:ext cx="3901440" cy="1457369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571500</xdr:colOff>
      <xdr:row>26</xdr:row>
      <xdr:rowOff>38100</xdr:rowOff>
    </xdr:from>
    <xdr:to>
      <xdr:col>17</xdr:col>
      <xdr:colOff>514074</xdr:colOff>
      <xdr:row>46</xdr:row>
      <xdr:rowOff>53340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92ACEA-7050-53C8-1BA9-B56784320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91200" y="4427220"/>
          <a:ext cx="6457674" cy="36728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1</xdr:rowOff>
    </xdr:from>
    <xdr:to>
      <xdr:col>8</xdr:col>
      <xdr:colOff>66814</xdr:colOff>
      <xdr:row>46</xdr:row>
      <xdr:rowOff>7621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A3E1B70-6631-BCFD-1744-0311BE318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7160" y="4389121"/>
          <a:ext cx="6759079" cy="366522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61</xdr:row>
      <xdr:rowOff>1</xdr:rowOff>
    </xdr:from>
    <xdr:to>
      <xdr:col>5</xdr:col>
      <xdr:colOff>153529</xdr:colOff>
      <xdr:row>74</xdr:row>
      <xdr:rowOff>91441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7516177-3F4F-CBDC-B6D6-B61F696EE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7161" y="11521441"/>
          <a:ext cx="4150218" cy="2468880"/>
        </a:xfrm>
        <a:prstGeom prst="rect">
          <a:avLst/>
        </a:prstGeom>
      </xdr:spPr>
    </xdr:pic>
    <xdr:clientData/>
  </xdr:twoCellAnchor>
  <xdr:twoCellAnchor editAs="oneCell">
    <xdr:from>
      <xdr:col>5</xdr:col>
      <xdr:colOff>259081</xdr:colOff>
      <xdr:row>60</xdr:row>
      <xdr:rowOff>152400</xdr:rowOff>
    </xdr:from>
    <xdr:to>
      <xdr:col>9</xdr:col>
      <xdr:colOff>672466</xdr:colOff>
      <xdr:row>75</xdr:row>
      <xdr:rowOff>15446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65F06EC-785D-84F1-2544-A32D923C1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73881" y="11125200"/>
          <a:ext cx="4251960" cy="2606246"/>
        </a:xfrm>
        <a:prstGeom prst="rect">
          <a:avLst/>
        </a:prstGeom>
      </xdr:spPr>
    </xdr:pic>
    <xdr:clientData/>
  </xdr:twoCellAnchor>
  <xdr:twoCellAnchor editAs="oneCell">
    <xdr:from>
      <xdr:col>9</xdr:col>
      <xdr:colOff>746760</xdr:colOff>
      <xdr:row>61</xdr:row>
      <xdr:rowOff>1</xdr:rowOff>
    </xdr:from>
    <xdr:to>
      <xdr:col>16</xdr:col>
      <xdr:colOff>243739</xdr:colOff>
      <xdr:row>74</xdr:row>
      <xdr:rowOff>7620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C95EBB4-D6B3-80CE-AFA2-BC3AB336A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671560" y="11521441"/>
          <a:ext cx="4259479" cy="23850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</xdr:row>
      <xdr:rowOff>53340</xdr:rowOff>
    </xdr:from>
    <xdr:to>
      <xdr:col>6</xdr:col>
      <xdr:colOff>1011555</xdr:colOff>
      <xdr:row>83</xdr:row>
      <xdr:rowOff>33069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C414519-95FC-EA74-1FAA-A33A85678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3586460"/>
          <a:ext cx="5935980" cy="1625649"/>
        </a:xfrm>
        <a:prstGeom prst="rect">
          <a:avLst/>
        </a:prstGeom>
      </xdr:spPr>
    </xdr:pic>
    <xdr:clientData/>
  </xdr:twoCellAnchor>
  <xdr:twoCellAnchor editAs="oneCell">
    <xdr:from>
      <xdr:col>6</xdr:col>
      <xdr:colOff>1120139</xdr:colOff>
      <xdr:row>74</xdr:row>
      <xdr:rowOff>15240</xdr:rowOff>
    </xdr:from>
    <xdr:to>
      <xdr:col>15</xdr:col>
      <xdr:colOff>190500</xdr:colOff>
      <xdr:row>88</xdr:row>
      <xdr:rowOff>86863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D2C657D-9FC4-5324-CD16-0CDC7CC7F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996939" y="13548360"/>
          <a:ext cx="6271261" cy="2631943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76</xdr:row>
      <xdr:rowOff>0</xdr:rowOff>
    </xdr:from>
    <xdr:to>
      <xdr:col>38</xdr:col>
      <xdr:colOff>56076</xdr:colOff>
      <xdr:row>101</xdr:row>
      <xdr:rowOff>47048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17EBA78-8FFE-2BC6-D0B0-B538B580C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564100" y="13898880"/>
          <a:ext cx="8590476" cy="4619048"/>
        </a:xfrm>
        <a:prstGeom prst="rect">
          <a:avLst/>
        </a:prstGeom>
      </xdr:spPr>
    </xdr:pic>
    <xdr:clientData/>
  </xdr:twoCellAnchor>
  <xdr:twoCellAnchor editAs="oneCell">
    <xdr:from>
      <xdr:col>1</xdr:col>
      <xdr:colOff>449580</xdr:colOff>
      <xdr:row>83</xdr:row>
      <xdr:rowOff>144779</xdr:rowOff>
    </xdr:from>
    <xdr:to>
      <xdr:col>9</xdr:col>
      <xdr:colOff>791345</xdr:colOff>
      <xdr:row>107</xdr:row>
      <xdr:rowOff>152400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43846F71-6099-E8D0-1F69-BD9BA1FB8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86740" y="15323819"/>
          <a:ext cx="8177030" cy="43967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57EED-05E3-4932-A6F8-6CF2598B3115}">
  <dimension ref="A1:I46"/>
  <sheetViews>
    <sheetView tabSelected="1" topLeftCell="A3" workbookViewId="0">
      <selection activeCell="E3" sqref="E3"/>
    </sheetView>
  </sheetViews>
  <sheetFormatPr defaultRowHeight="15" x14ac:dyDescent="0.25"/>
  <cols>
    <col min="1" max="1" width="31.140625" bestFit="1" customWidth="1"/>
    <col min="2" max="2" width="11.5703125" style="1" bestFit="1" customWidth="1"/>
    <col min="4" max="4" width="26.7109375" bestFit="1" customWidth="1"/>
    <col min="5" max="5" width="12.7109375" customWidth="1"/>
    <col min="7" max="9" width="9.140625" bestFit="1" customWidth="1"/>
  </cols>
  <sheetData>
    <row r="1" spans="1:5" ht="19.5" thickBot="1" x14ac:dyDescent="0.35">
      <c r="A1" s="31" t="s">
        <v>54</v>
      </c>
      <c r="D1" s="32" t="s">
        <v>35</v>
      </c>
      <c r="E1" s="33"/>
    </row>
    <row r="2" spans="1:5" ht="19.5" thickBot="1" x14ac:dyDescent="0.35">
      <c r="A2" s="22" t="s">
        <v>0</v>
      </c>
      <c r="B2" s="23"/>
      <c r="D2" s="6" t="s">
        <v>34</v>
      </c>
      <c r="E2" s="24">
        <v>1</v>
      </c>
    </row>
    <row r="3" spans="1:5" x14ac:dyDescent="0.25">
      <c r="A3" s="22" t="s">
        <v>1</v>
      </c>
      <c r="B3" s="28"/>
      <c r="D3" s="4" t="s">
        <v>28</v>
      </c>
      <c r="E3" s="5"/>
    </row>
    <row r="4" spans="1:5" ht="15.75" thickBot="1" x14ac:dyDescent="0.3">
      <c r="D4" s="4"/>
      <c r="E4" s="5"/>
    </row>
    <row r="5" spans="1:5" ht="19.5" thickBot="1" x14ac:dyDescent="0.35">
      <c r="A5" t="s">
        <v>2</v>
      </c>
      <c r="B5" s="27">
        <v>3670.21</v>
      </c>
      <c r="D5" s="6" t="s">
        <v>29</v>
      </c>
      <c r="E5" s="25"/>
    </row>
    <row r="6" spans="1:5" ht="19.5" thickBot="1" x14ac:dyDescent="0.35">
      <c r="A6" t="s">
        <v>4</v>
      </c>
      <c r="B6" s="27">
        <v>49.6</v>
      </c>
      <c r="D6" s="6" t="s">
        <v>30</v>
      </c>
      <c r="E6" s="25"/>
    </row>
    <row r="7" spans="1:5" ht="19.5" thickBot="1" x14ac:dyDescent="0.35">
      <c r="A7" t="s">
        <v>6</v>
      </c>
      <c r="B7" s="27">
        <v>2.98</v>
      </c>
      <c r="D7" s="6" t="s">
        <v>31</v>
      </c>
      <c r="E7" s="25"/>
    </row>
    <row r="8" spans="1:5" ht="19.5" thickBot="1" x14ac:dyDescent="0.35">
      <c r="A8" t="s">
        <v>8</v>
      </c>
      <c r="B8" s="27">
        <v>0.55000000000000004</v>
      </c>
      <c r="D8" s="7" t="s">
        <v>32</v>
      </c>
      <c r="E8" s="26"/>
    </row>
    <row r="9" spans="1:5" x14ac:dyDescent="0.25">
      <c r="A9" t="s">
        <v>9</v>
      </c>
      <c r="B9" s="2">
        <f>+B5-B6-B7-B8</f>
        <v>3617.08</v>
      </c>
    </row>
    <row r="10" spans="1:5" x14ac:dyDescent="0.25">
      <c r="D10" s="30" t="s">
        <v>44</v>
      </c>
    </row>
    <row r="11" spans="1:5" x14ac:dyDescent="0.25">
      <c r="A11" t="s">
        <v>42</v>
      </c>
      <c r="B11" s="1">
        <f>+B9*0.062</f>
        <v>224.25896</v>
      </c>
      <c r="D11" s="29" t="s">
        <v>45</v>
      </c>
    </row>
    <row r="12" spans="1:5" x14ac:dyDescent="0.25">
      <c r="A12" t="s">
        <v>43</v>
      </c>
      <c r="B12" s="1">
        <f>+B9*0.0145</f>
        <v>52.447659999999999</v>
      </c>
    </row>
    <row r="15" spans="1:5" x14ac:dyDescent="0.25">
      <c r="A15" t="s">
        <v>3</v>
      </c>
      <c r="B15" s="1">
        <f>+B9</f>
        <v>3617.08</v>
      </c>
    </row>
    <row r="16" spans="1:5" x14ac:dyDescent="0.25">
      <c r="A16" t="s">
        <v>5</v>
      </c>
      <c r="B16" s="27">
        <v>163.63999999999999</v>
      </c>
    </row>
    <row r="17" spans="1:9" x14ac:dyDescent="0.25">
      <c r="A17" t="s">
        <v>7</v>
      </c>
      <c r="B17" s="27">
        <v>0</v>
      </c>
    </row>
    <row r="19" spans="1:9" x14ac:dyDescent="0.25">
      <c r="A19" t="s">
        <v>10</v>
      </c>
      <c r="B19" s="2">
        <f>+B15-B16-B17</f>
        <v>3453.44</v>
      </c>
      <c r="E19" s="3"/>
    </row>
    <row r="20" spans="1:9" x14ac:dyDescent="0.25">
      <c r="A20" t="s">
        <v>11</v>
      </c>
      <c r="B20" s="21">
        <v>26</v>
      </c>
      <c r="E20" s="3"/>
    </row>
    <row r="21" spans="1:9" x14ac:dyDescent="0.25">
      <c r="A21" t="s">
        <v>12</v>
      </c>
      <c r="B21" s="1">
        <f>+B19*B20</f>
        <v>89789.440000000002</v>
      </c>
      <c r="E21" s="3"/>
    </row>
    <row r="22" spans="1:9" x14ac:dyDescent="0.25">
      <c r="A22" t="s">
        <v>27</v>
      </c>
      <c r="B22" s="1">
        <f>VLOOKUP(E2,Sheet2!A1:B3,2,FALSE)</f>
        <v>13850</v>
      </c>
    </row>
    <row r="23" spans="1:9" x14ac:dyDescent="0.25">
      <c r="A23" t="s">
        <v>30</v>
      </c>
      <c r="B23" s="1">
        <f>+E6</f>
        <v>0</v>
      </c>
    </row>
    <row r="24" spans="1:9" x14ac:dyDescent="0.25">
      <c r="A24" t="s">
        <v>31</v>
      </c>
      <c r="B24" s="1">
        <f>-E7</f>
        <v>0</v>
      </c>
    </row>
    <row r="25" spans="1:9" x14ac:dyDescent="0.25">
      <c r="A25" t="s">
        <v>36</v>
      </c>
      <c r="B25" s="2">
        <f>+B21-B22+B23+B24</f>
        <v>75939.44</v>
      </c>
    </row>
    <row r="27" spans="1:9" x14ac:dyDescent="0.25">
      <c r="A27" s="34" t="s">
        <v>53</v>
      </c>
      <c r="B27" s="34"/>
      <c r="D27" s="34" t="s">
        <v>52</v>
      </c>
      <c r="E27" s="34"/>
    </row>
    <row r="28" spans="1:9" x14ac:dyDescent="0.25">
      <c r="A28" t="s">
        <v>13</v>
      </c>
      <c r="B28" s="1">
        <f>+Sheet2!L14</f>
        <v>1100</v>
      </c>
      <c r="D28" t="s">
        <v>47</v>
      </c>
      <c r="E28" s="3">
        <f>+Sheet2!L54</f>
        <v>0</v>
      </c>
      <c r="G28" s="3"/>
      <c r="H28" s="3"/>
      <c r="I28" s="3"/>
    </row>
    <row r="29" spans="1:9" x14ac:dyDescent="0.25">
      <c r="A29" t="s">
        <v>14</v>
      </c>
      <c r="B29" s="1">
        <f>+Sheet2!L15</f>
        <v>4047</v>
      </c>
      <c r="D29" t="s">
        <v>48</v>
      </c>
      <c r="E29" s="3">
        <f>+Sheet2!L55</f>
        <v>0</v>
      </c>
      <c r="G29" s="3"/>
      <c r="H29" s="3"/>
      <c r="I29" s="3"/>
    </row>
    <row r="30" spans="1:9" x14ac:dyDescent="0.25">
      <c r="A30" t="s">
        <v>22</v>
      </c>
      <c r="B30" s="1">
        <f>+Sheet2!L16</f>
        <v>6867.1768000000002</v>
      </c>
      <c r="D30" t="s">
        <v>49</v>
      </c>
      <c r="E30" s="3">
        <f>+Sheet2!L56</f>
        <v>0</v>
      </c>
      <c r="G30" s="3"/>
      <c r="H30" s="3"/>
      <c r="I30" s="3"/>
    </row>
    <row r="31" spans="1:9" x14ac:dyDescent="0.25">
      <c r="A31" t="s">
        <v>23</v>
      </c>
      <c r="B31" s="1">
        <f>+Sheet2!L17</f>
        <v>0</v>
      </c>
      <c r="D31" t="s">
        <v>50</v>
      </c>
      <c r="E31" s="3">
        <f>+Sheet2!L57</f>
        <v>3721.0325600000001</v>
      </c>
      <c r="G31" s="3"/>
      <c r="H31" s="3"/>
      <c r="I31" s="3"/>
    </row>
    <row r="32" spans="1:9" x14ac:dyDescent="0.25">
      <c r="A32" t="s">
        <v>24</v>
      </c>
      <c r="B32" s="1">
        <f>+Sheet2!L18</f>
        <v>0</v>
      </c>
      <c r="D32" t="s">
        <v>51</v>
      </c>
      <c r="E32" s="3">
        <f>+Sheet2!L58</f>
        <v>0</v>
      </c>
      <c r="G32" s="3"/>
      <c r="H32" s="3"/>
      <c r="I32" s="3"/>
    </row>
    <row r="33" spans="1:9" x14ac:dyDescent="0.25">
      <c r="A33" t="s">
        <v>25</v>
      </c>
      <c r="B33" s="1">
        <f>+Sheet2!L19</f>
        <v>0</v>
      </c>
      <c r="G33" s="3"/>
      <c r="H33" s="3"/>
      <c r="I33" s="3"/>
    </row>
    <row r="34" spans="1:9" x14ac:dyDescent="0.25">
      <c r="A34" t="s">
        <v>26</v>
      </c>
      <c r="B34" s="1">
        <f>+Sheet2!L20</f>
        <v>0</v>
      </c>
      <c r="G34" s="3"/>
      <c r="H34" s="3"/>
      <c r="I34" s="3"/>
    </row>
    <row r="35" spans="1:9" x14ac:dyDescent="0.25">
      <c r="B35" s="2">
        <f>SUM(B28:B34)</f>
        <v>12014.176800000001</v>
      </c>
      <c r="E35" s="2">
        <f>SUM(E28:E34)</f>
        <v>3721.0325600000001</v>
      </c>
    </row>
    <row r="36" spans="1:9" x14ac:dyDescent="0.25">
      <c r="E36" s="1"/>
    </row>
    <row r="37" spans="1:9" x14ac:dyDescent="0.25">
      <c r="A37" t="s">
        <v>33</v>
      </c>
      <c r="B37" s="1">
        <f>+B35</f>
        <v>12014.176800000001</v>
      </c>
      <c r="E37" s="1">
        <f>+E35</f>
        <v>3721.0325600000001</v>
      </c>
    </row>
    <row r="38" spans="1:9" x14ac:dyDescent="0.25">
      <c r="A38" t="s">
        <v>29</v>
      </c>
      <c r="B38" s="1">
        <f>-E5</f>
        <v>0</v>
      </c>
      <c r="E38" s="1">
        <f>-H5</f>
        <v>0</v>
      </c>
    </row>
    <row r="39" spans="1:9" x14ac:dyDescent="0.25">
      <c r="B39" s="2">
        <f>SUM(B37:B38)</f>
        <v>12014.176800000001</v>
      </c>
      <c r="E39" s="2">
        <f>SUM(E37:E38)</f>
        <v>3721.0325600000001</v>
      </c>
    </row>
    <row r="40" spans="1:9" x14ac:dyDescent="0.25">
      <c r="E40" s="1"/>
    </row>
    <row r="41" spans="1:9" x14ac:dyDescent="0.25">
      <c r="E41" s="1"/>
    </row>
    <row r="42" spans="1:9" x14ac:dyDescent="0.25">
      <c r="A42" t="s">
        <v>41</v>
      </c>
      <c r="B42" s="1">
        <f>+B39/B20</f>
        <v>462.08372307692309</v>
      </c>
      <c r="E42" s="1">
        <f>+E39/B20</f>
        <v>143.11663692307692</v>
      </c>
    </row>
    <row r="43" spans="1:9" x14ac:dyDescent="0.25">
      <c r="A43" t="s">
        <v>15</v>
      </c>
      <c r="B43" s="1">
        <f>+E8</f>
        <v>0</v>
      </c>
      <c r="E43" s="1">
        <f>+H8</f>
        <v>0</v>
      </c>
    </row>
    <row r="44" spans="1:9" x14ac:dyDescent="0.25">
      <c r="A44" t="s">
        <v>16</v>
      </c>
      <c r="B44" s="2">
        <f>SUM(B42:B43)</f>
        <v>462.08372307692309</v>
      </c>
      <c r="E44" s="2">
        <f>SUM(E42:E43)</f>
        <v>143.11663692307692</v>
      </c>
    </row>
    <row r="45" spans="1:9" x14ac:dyDescent="0.25">
      <c r="A45" t="s">
        <v>17</v>
      </c>
      <c r="B45" s="27">
        <v>462.08</v>
      </c>
      <c r="E45" s="27"/>
    </row>
    <row r="46" spans="1:9" x14ac:dyDescent="0.25">
      <c r="A46" t="s">
        <v>18</v>
      </c>
      <c r="B46" s="2">
        <f>+B44-B45</f>
        <v>3.7230769231086924E-3</v>
      </c>
      <c r="E46" s="2">
        <f>+E44-E45</f>
        <v>143.11663692307692</v>
      </c>
    </row>
  </sheetData>
  <mergeCells count="3">
    <mergeCell ref="D1:E1"/>
    <mergeCell ref="A27:B27"/>
    <mergeCell ref="D27:E27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DF263-F28A-41A5-A140-05990BACA494}">
  <dimension ref="A1:L59"/>
  <sheetViews>
    <sheetView topLeftCell="B1" workbookViewId="0">
      <selection activeCell="C14" sqref="C14"/>
    </sheetView>
  </sheetViews>
  <sheetFormatPr defaultRowHeight="15" x14ac:dyDescent="0.25"/>
  <cols>
    <col min="1" max="1" width="2" bestFit="1" customWidth="1"/>
    <col min="2" max="2" width="19" bestFit="1" customWidth="1"/>
    <col min="3" max="3" width="11.5703125" bestFit="1" customWidth="1"/>
    <col min="4" max="4" width="16.7109375" bestFit="1" customWidth="1"/>
    <col min="5" max="5" width="11.140625" bestFit="1" customWidth="1"/>
    <col min="6" max="6" width="11.5703125" bestFit="1" customWidth="1"/>
    <col min="7" max="7" width="16.7109375" bestFit="1" customWidth="1"/>
    <col min="8" max="8" width="11.140625" bestFit="1" customWidth="1"/>
    <col min="9" max="9" width="16.7109375" bestFit="1" customWidth="1"/>
    <col min="10" max="10" width="14.7109375" bestFit="1" customWidth="1"/>
    <col min="11" max="11" width="9.140625" bestFit="1" customWidth="1"/>
    <col min="12" max="12" width="10.140625" bestFit="1" customWidth="1"/>
  </cols>
  <sheetData>
    <row r="1" spans="1:12" x14ac:dyDescent="0.25">
      <c r="A1">
        <v>1</v>
      </c>
      <c r="B1">
        <v>13850</v>
      </c>
      <c r="D1" t="s">
        <v>19</v>
      </c>
    </row>
    <row r="2" spans="1:12" x14ac:dyDescent="0.25">
      <c r="A2">
        <v>2</v>
      </c>
      <c r="B2">
        <v>27700</v>
      </c>
      <c r="D2" t="s">
        <v>20</v>
      </c>
    </row>
    <row r="3" spans="1:12" x14ac:dyDescent="0.25">
      <c r="A3">
        <v>3</v>
      </c>
      <c r="B3">
        <v>20800</v>
      </c>
      <c r="D3" t="s">
        <v>21</v>
      </c>
    </row>
    <row r="10" spans="1:12" x14ac:dyDescent="0.25">
      <c r="B10" t="s">
        <v>46</v>
      </c>
      <c r="D10" s="3">
        <f>+Sheet1!B25</f>
        <v>75939.44</v>
      </c>
      <c r="E10" s="3"/>
      <c r="G10" s="3">
        <f>+Sheet1!B25</f>
        <v>75939.44</v>
      </c>
      <c r="H10" s="3"/>
      <c r="J10" s="3">
        <f>+Sheet1!B25</f>
        <v>75939.44</v>
      </c>
    </row>
    <row r="11" spans="1:12" x14ac:dyDescent="0.25">
      <c r="D11" s="3"/>
      <c r="E11" s="3"/>
      <c r="G11" s="3"/>
      <c r="H11" s="3"/>
      <c r="J11" s="3"/>
    </row>
    <row r="12" spans="1:12" x14ac:dyDescent="0.25">
      <c r="C12" s="35" t="s">
        <v>19</v>
      </c>
      <c r="D12" s="36"/>
      <c r="E12" s="37"/>
      <c r="F12" s="8" t="s">
        <v>20</v>
      </c>
      <c r="G12" s="9"/>
      <c r="H12" s="10"/>
      <c r="I12" s="35" t="s">
        <v>21</v>
      </c>
      <c r="J12" s="36"/>
      <c r="K12" s="37"/>
    </row>
    <row r="13" spans="1:12" x14ac:dyDescent="0.25">
      <c r="C13" s="12" t="s">
        <v>40</v>
      </c>
      <c r="D13" s="13" t="s">
        <v>37</v>
      </c>
      <c r="E13" s="14" t="s">
        <v>38</v>
      </c>
      <c r="F13" s="12" t="s">
        <v>40</v>
      </c>
      <c r="G13" s="13" t="s">
        <v>37</v>
      </c>
      <c r="H13" s="14" t="s">
        <v>38</v>
      </c>
      <c r="I13" s="12" t="s">
        <v>40</v>
      </c>
      <c r="J13" s="13" t="s">
        <v>37</v>
      </c>
      <c r="K13" s="14" t="s">
        <v>38</v>
      </c>
    </row>
    <row r="14" spans="1:12" x14ac:dyDescent="0.25">
      <c r="B14" t="s">
        <v>13</v>
      </c>
      <c r="C14" s="15">
        <v>11000</v>
      </c>
      <c r="D14" s="16">
        <f>IF(D10&gt;C14,C14,D10)</f>
        <v>11000</v>
      </c>
      <c r="E14" s="17">
        <f>IF(Sheet1!E2=1,Sheet2!D14*0.1,0)</f>
        <v>1100</v>
      </c>
      <c r="F14" s="15">
        <v>22000</v>
      </c>
      <c r="G14" s="16">
        <f>IF(G10&gt;F14,F14,G10)</f>
        <v>22000</v>
      </c>
      <c r="H14" s="17">
        <f>IF(Sheet1!E2=2,+G14*0.1,0)</f>
        <v>0</v>
      </c>
      <c r="I14" s="15">
        <v>15700</v>
      </c>
      <c r="J14" s="16">
        <f>IF(J10&gt;I14,I14,J10)</f>
        <v>15700</v>
      </c>
      <c r="K14" s="17">
        <f>IF(Sheet1!E2=3,+J14*0.1,0)</f>
        <v>0</v>
      </c>
      <c r="L14" s="3">
        <f>+K14+H14+E14</f>
        <v>1100</v>
      </c>
    </row>
    <row r="15" spans="1:12" x14ac:dyDescent="0.25">
      <c r="B15" t="s">
        <v>14</v>
      </c>
      <c r="C15" s="15">
        <v>44725</v>
      </c>
      <c r="D15" s="16">
        <f>IF(D10&gt;C15,C15-D14,D10-D14)</f>
        <v>33725</v>
      </c>
      <c r="E15" s="17">
        <f>IF(Sheet1!E2=1,+D15*0.12,0)</f>
        <v>4047</v>
      </c>
      <c r="F15" s="15">
        <v>89450</v>
      </c>
      <c r="G15" s="16">
        <f>IF(G10&gt;F15,F15-G14,G10-G14)</f>
        <v>53939.44</v>
      </c>
      <c r="H15" s="17">
        <f>IF(Sheet1!E2=2,+G15*0.12,0)</f>
        <v>0</v>
      </c>
      <c r="I15" s="15">
        <v>59850</v>
      </c>
      <c r="J15" s="16">
        <f>IF(J10&gt;I15,I15-J14,J10-J14)</f>
        <v>44150</v>
      </c>
      <c r="K15" s="17">
        <f>IF(Sheet1!E2=3,+J15*0.12,0)</f>
        <v>0</v>
      </c>
      <c r="L15" s="3">
        <f t="shared" ref="L15:L20" si="0">+K15+H15+E15</f>
        <v>4047</v>
      </c>
    </row>
    <row r="16" spans="1:12" x14ac:dyDescent="0.25">
      <c r="B16" t="s">
        <v>22</v>
      </c>
      <c r="C16" s="15">
        <v>95375</v>
      </c>
      <c r="D16" s="16">
        <f>IF(D10&gt;C16,C16-D15-D14,D10-D15-D14)</f>
        <v>31214.440000000002</v>
      </c>
      <c r="E16" s="17">
        <f>IF(Sheet1!E2=1,+D16*0.22,0)</f>
        <v>6867.1768000000002</v>
      </c>
      <c r="F16" s="15">
        <v>190750</v>
      </c>
      <c r="G16" s="16">
        <f>IF(G10&gt;F16,F16-G15-G14,G10-G15-G14)</f>
        <v>0</v>
      </c>
      <c r="H16" s="17">
        <f>IF(Sheet1!E2=2,+G16*0.22,0)</f>
        <v>0</v>
      </c>
      <c r="I16" s="15">
        <v>95350</v>
      </c>
      <c r="J16" s="16">
        <f>IF(J10&gt;I16,I16-J15-J14,J10-J15-J14)</f>
        <v>16089.440000000002</v>
      </c>
      <c r="K16" s="17">
        <f>IF(Sheet1!E2=3,+J16*0.22,0)</f>
        <v>0</v>
      </c>
      <c r="L16" s="3">
        <f t="shared" si="0"/>
        <v>6867.1768000000002</v>
      </c>
    </row>
    <row r="17" spans="2:12" x14ac:dyDescent="0.25">
      <c r="B17" t="s">
        <v>23</v>
      </c>
      <c r="C17" s="15">
        <v>182100</v>
      </c>
      <c r="D17" s="16">
        <f>IF(D10&gt;C17,C17-D16-D15-D14,D10-D14-D15-D16)</f>
        <v>0</v>
      </c>
      <c r="E17" s="17">
        <f>IF(Sheet1!E2=1,+D17*0.24,0)</f>
        <v>0</v>
      </c>
      <c r="F17" s="15">
        <v>364200</v>
      </c>
      <c r="G17" s="16">
        <f>IF(G10&gt;F17,F17-G16-G15-G14,G10-G14-G15-G16)</f>
        <v>0</v>
      </c>
      <c r="H17" s="17">
        <f>IF(Sheet1!E2=2,+G17*0.24,0)</f>
        <v>0</v>
      </c>
      <c r="I17" s="15">
        <v>182100</v>
      </c>
      <c r="J17" s="16">
        <f>IF(J10&gt;I17,I17-J16-J15-J14,J10-J14-J15-J16)</f>
        <v>0</v>
      </c>
      <c r="K17" s="17">
        <f>IF(Sheet1!E2=3,+J17*0.24,0)</f>
        <v>0</v>
      </c>
      <c r="L17" s="3">
        <f t="shared" si="0"/>
        <v>0</v>
      </c>
    </row>
    <row r="18" spans="2:12" x14ac:dyDescent="0.25">
      <c r="B18" t="s">
        <v>24</v>
      </c>
      <c r="C18" s="15">
        <v>231250</v>
      </c>
      <c r="D18" s="16">
        <f>IF(D10&gt;C18,C18-D17-D16-D15-D14,D10-D17-D16-D15-D14)</f>
        <v>0</v>
      </c>
      <c r="E18" s="17">
        <f>IF(Sheet1!E2=1,+D18*0.32,0)</f>
        <v>0</v>
      </c>
      <c r="F18" s="15">
        <v>462500</v>
      </c>
      <c r="G18" s="16">
        <f>IF(G10&gt;F18,F18-G17-G16-G15-G14,G10-G17-G16-G15-G14)</f>
        <v>0</v>
      </c>
      <c r="H18" s="17">
        <f>IF(Sheet1!E2=2,+G18*0.32,0)</f>
        <v>0</v>
      </c>
      <c r="I18" s="15">
        <v>231250</v>
      </c>
      <c r="J18" s="16">
        <f>IF(J10&gt;I18,I18-J17-J16-J15-J14,J10-J17-J16-J15-J14)</f>
        <v>0</v>
      </c>
      <c r="K18" s="17">
        <f>IF(Sheet1!E2=3,+J18*0.32,0)</f>
        <v>0</v>
      </c>
      <c r="L18" s="3">
        <f t="shared" si="0"/>
        <v>0</v>
      </c>
    </row>
    <row r="19" spans="2:12" x14ac:dyDescent="0.25">
      <c r="B19" t="s">
        <v>25</v>
      </c>
      <c r="C19" s="15">
        <v>578125</v>
      </c>
      <c r="D19" s="16">
        <f>IF(D10&gt;C19,C19-D18-D17-D16-D15-D14,D10-D14-D15-D16-D17-D18)</f>
        <v>0</v>
      </c>
      <c r="E19" s="17">
        <f>IF(Sheet1!E2=1,+D19*0.35,0)</f>
        <v>0</v>
      </c>
      <c r="F19" s="15">
        <v>693750</v>
      </c>
      <c r="G19" s="16">
        <f>IF(G10&gt;F19,F19-G18-G17-G16-G15-G14,G10-G14-G15-G16-G17-G18)</f>
        <v>0</v>
      </c>
      <c r="H19" s="17">
        <f>IF(Sheet1!E2=2,+G19*0.35,0)</f>
        <v>0</v>
      </c>
      <c r="I19" s="15">
        <v>578100</v>
      </c>
      <c r="J19" s="16">
        <f>IF(J10&gt;I19,I19-J18-J17-J16-J15-J14,J10-J14-J15-J16-J17-J18)</f>
        <v>0</v>
      </c>
      <c r="K19" s="17">
        <f>IF(Sheet1!E2=3,+J19*0.35,0)</f>
        <v>0</v>
      </c>
      <c r="L19" s="3">
        <f t="shared" si="0"/>
        <v>0</v>
      </c>
    </row>
    <row r="20" spans="2:12" x14ac:dyDescent="0.25">
      <c r="B20" t="s">
        <v>26</v>
      </c>
      <c r="C20" s="18"/>
      <c r="D20" s="19">
        <f>IF(D10&gt;C19,D10-C19,0)</f>
        <v>0</v>
      </c>
      <c r="E20" s="20">
        <f>IF(Sheet1!E2=1,+D20*0.37,0)</f>
        <v>0</v>
      </c>
      <c r="F20" s="18"/>
      <c r="G20" s="19">
        <f>IF(G10&gt;F19,G10-F19,0)</f>
        <v>0</v>
      </c>
      <c r="H20" s="20">
        <f>IF(Sheet1!E2=2,+G20*0.37,0)</f>
        <v>0</v>
      </c>
      <c r="I20" s="18"/>
      <c r="J20" s="19">
        <f>IF(J10&gt;I19,J10-I19,0)</f>
        <v>0</v>
      </c>
      <c r="K20" s="20">
        <f>IF(Sheet1!E2=3,+J20*0.37,0)</f>
        <v>0</v>
      </c>
      <c r="L20" s="3">
        <f t="shared" si="0"/>
        <v>0</v>
      </c>
    </row>
    <row r="21" spans="2:12" x14ac:dyDescent="0.25">
      <c r="D21" s="3">
        <f>SUM(D14:D20)-D10</f>
        <v>0</v>
      </c>
      <c r="E21" s="11">
        <f>SUM(E14:E20)</f>
        <v>12014.176800000001</v>
      </c>
      <c r="G21" s="3">
        <f>SUM(G14:G20)-G10</f>
        <v>0</v>
      </c>
      <c r="H21" s="11">
        <f>SUM(H14:H20)</f>
        <v>0</v>
      </c>
      <c r="J21" s="3">
        <f>SUM(J14:J20)-J10</f>
        <v>0</v>
      </c>
      <c r="K21" s="11">
        <f>SUM(K14:K20)</f>
        <v>0</v>
      </c>
    </row>
    <row r="50" spans="2:12" x14ac:dyDescent="0.25">
      <c r="B50" t="s">
        <v>39</v>
      </c>
      <c r="D50" s="3">
        <f>+Sheet1!B25</f>
        <v>75939.44</v>
      </c>
      <c r="E50" s="3"/>
      <c r="G50" s="3">
        <f>+Sheet1!B25</f>
        <v>75939.44</v>
      </c>
      <c r="H50" s="3"/>
      <c r="J50" s="3">
        <f>+Sheet1!B25</f>
        <v>75939.44</v>
      </c>
    </row>
    <row r="51" spans="2:12" x14ac:dyDescent="0.25">
      <c r="D51" s="3"/>
      <c r="E51" s="3"/>
      <c r="G51" s="3"/>
      <c r="H51" s="3"/>
      <c r="J51" s="3"/>
    </row>
    <row r="52" spans="2:12" x14ac:dyDescent="0.25">
      <c r="C52" s="35" t="s">
        <v>19</v>
      </c>
      <c r="D52" s="36"/>
      <c r="E52" s="37"/>
      <c r="F52" s="8" t="s">
        <v>20</v>
      </c>
      <c r="G52" s="9"/>
      <c r="H52" s="10"/>
      <c r="I52" s="35" t="s">
        <v>21</v>
      </c>
      <c r="J52" s="36"/>
      <c r="K52" s="37"/>
    </row>
    <row r="53" spans="2:12" x14ac:dyDescent="0.25">
      <c r="C53" s="12" t="s">
        <v>40</v>
      </c>
      <c r="D53" s="13" t="s">
        <v>37</v>
      </c>
      <c r="E53" s="14" t="s">
        <v>38</v>
      </c>
      <c r="F53" s="12" t="s">
        <v>40</v>
      </c>
      <c r="G53" s="13" t="s">
        <v>37</v>
      </c>
      <c r="H53" s="14" t="s">
        <v>38</v>
      </c>
      <c r="I53" s="12" t="s">
        <v>40</v>
      </c>
      <c r="J53" s="13" t="s">
        <v>37</v>
      </c>
      <c r="K53" s="14" t="s">
        <v>38</v>
      </c>
    </row>
    <row r="54" spans="2:12" x14ac:dyDescent="0.25">
      <c r="B54" t="s">
        <v>47</v>
      </c>
      <c r="C54" s="15">
        <v>0</v>
      </c>
      <c r="D54" s="16">
        <f>IF(D50&gt;C54,C54,D50)</f>
        <v>0</v>
      </c>
      <c r="E54" s="17">
        <f>IF(Sheet1!E2=1,Sheet2!D54*0.017,0)</f>
        <v>0</v>
      </c>
      <c r="F54" s="15">
        <v>0</v>
      </c>
      <c r="G54" s="16">
        <f>IF(G50&gt;F54,F54,G50)</f>
        <v>0</v>
      </c>
      <c r="H54" s="17">
        <f>IF(Sheet1!E2=2,+G54*0.017,0)</f>
        <v>0</v>
      </c>
      <c r="I54" s="15">
        <v>0</v>
      </c>
      <c r="J54" s="16">
        <f>IF(J50&gt;I54,I54,J50)</f>
        <v>0</v>
      </c>
      <c r="K54" s="17">
        <f>IF(Sheet1!E2=3,+J54*0.017,0)</f>
        <v>0</v>
      </c>
      <c r="L54" s="3">
        <f>+K54+H54+E54</f>
        <v>0</v>
      </c>
    </row>
    <row r="55" spans="2:12" x14ac:dyDescent="0.25">
      <c r="B55" t="s">
        <v>48</v>
      </c>
      <c r="C55" s="15">
        <v>0</v>
      </c>
      <c r="D55" s="16">
        <f>IF(D50&gt;C55,C55-D54,D50-D54)</f>
        <v>0</v>
      </c>
      <c r="E55" s="17">
        <f>IF(Sheet1!E2=1,+D55*0.032,0)</f>
        <v>0</v>
      </c>
      <c r="F55" s="15">
        <v>0</v>
      </c>
      <c r="G55" s="16">
        <f>IF(G50&gt;F55,F55-G54,G50-G54)</f>
        <v>0</v>
      </c>
      <c r="H55" s="17">
        <f>IF(Sheet1!E2=2,+G55*0.032,0)</f>
        <v>0</v>
      </c>
      <c r="I55" s="15">
        <v>0</v>
      </c>
      <c r="J55" s="16">
        <f>IF(J50&gt;I55,I55-J54,J50-J54)</f>
        <v>0</v>
      </c>
      <c r="K55" s="17">
        <f>IF(Sheet1!E2=3,+J55*0.032,0)</f>
        <v>0</v>
      </c>
      <c r="L55" s="3">
        <f t="shared" ref="L55:L58" si="1">+K55+H55+E55</f>
        <v>0</v>
      </c>
    </row>
    <row r="56" spans="2:12" x14ac:dyDescent="0.25">
      <c r="B56" t="s">
        <v>49</v>
      </c>
      <c r="C56" s="15">
        <v>0</v>
      </c>
      <c r="D56" s="16">
        <f>IF(D50&gt;C56,C56-D55-D54,D50-D55-D54)</f>
        <v>0</v>
      </c>
      <c r="E56" s="17">
        <f>IF(Sheet1!E2=1,+D56*0.047,0)</f>
        <v>0</v>
      </c>
      <c r="F56" s="15">
        <v>0</v>
      </c>
      <c r="G56" s="16">
        <f>IF(G50&gt;F56,F56-G55-G54,G50-G55-G54)</f>
        <v>0</v>
      </c>
      <c r="H56" s="17">
        <f>IF(Sheet1!E2=2,+G56*0.047,0)</f>
        <v>0</v>
      </c>
      <c r="I56" s="15">
        <v>0</v>
      </c>
      <c r="J56" s="16">
        <f>IF(J50&gt;I56,I56-J55-J54,J50-J55-J54)</f>
        <v>0</v>
      </c>
      <c r="K56" s="17">
        <f>IF(Sheet1!E2=3,+J56*0.047,0)</f>
        <v>0</v>
      </c>
      <c r="L56" s="3">
        <f t="shared" si="1"/>
        <v>0</v>
      </c>
    </row>
    <row r="57" spans="2:12" x14ac:dyDescent="0.25">
      <c r="B57" t="s">
        <v>50</v>
      </c>
      <c r="C57" s="15">
        <v>216475</v>
      </c>
      <c r="D57" s="16">
        <f>IF(D50&gt;C57,C57-D56-D55-D54,D50-D54-D55-D56)</f>
        <v>75939.44</v>
      </c>
      <c r="E57" s="17">
        <f>IF(Sheet1!E2=1,+D57*0.049,0)</f>
        <v>3721.0325600000001</v>
      </c>
      <c r="F57" s="15">
        <v>212950</v>
      </c>
      <c r="G57" s="16">
        <f>IF(G50&gt;F57,F57-G56-G55-G54,G50-G54-G55-G56)</f>
        <v>75939.44</v>
      </c>
      <c r="H57" s="17">
        <f>IF(Sheet1!E2=2,+G57*0.049,0)</f>
        <v>0</v>
      </c>
      <c r="I57" s="15">
        <v>209700</v>
      </c>
      <c r="J57" s="16">
        <f>IF(J50&gt;I57,I57-J56-J55-J54,J50-J54-J55-J56)</f>
        <v>75939.44</v>
      </c>
      <c r="K57" s="17">
        <f>IF(Sheet1!E2=3,+J57*0.049,0)</f>
        <v>0</v>
      </c>
      <c r="L57" s="3">
        <f t="shared" si="1"/>
        <v>3721.0325600000001</v>
      </c>
    </row>
    <row r="58" spans="2:12" x14ac:dyDescent="0.25">
      <c r="B58" t="s">
        <v>51</v>
      </c>
      <c r="C58" s="18"/>
      <c r="D58" s="19">
        <f>IF(D50&gt;C57,D50-C57,0)</f>
        <v>0</v>
      </c>
      <c r="E58" s="20">
        <f>IF(Sheet1!E2=1,+D58*0.059,0)</f>
        <v>0</v>
      </c>
      <c r="F58" s="18"/>
      <c r="G58" s="19">
        <f>IF(G50&gt;F57,G50-F57,0)</f>
        <v>0</v>
      </c>
      <c r="H58" s="20">
        <f>IF(Sheet1!E2=2,+G58*0.059,0)</f>
        <v>0</v>
      </c>
      <c r="I58" s="18"/>
      <c r="J58" s="19">
        <f>IF(J50&gt;I57,J50-I57,0)</f>
        <v>0</v>
      </c>
      <c r="K58" s="20">
        <f>IF(Sheet1!E2=3,+J58*0.059,0)</f>
        <v>0</v>
      </c>
      <c r="L58" s="3">
        <f t="shared" si="1"/>
        <v>0</v>
      </c>
    </row>
    <row r="59" spans="2:12" x14ac:dyDescent="0.25">
      <c r="D59" s="3">
        <f>SUM(D54:D58)-D50</f>
        <v>0</v>
      </c>
      <c r="E59" s="11">
        <f>SUM(E54:E58)</f>
        <v>3721.0325600000001</v>
      </c>
      <c r="G59" s="3">
        <f>SUM(G54:G58)-G50</f>
        <v>0</v>
      </c>
      <c r="H59" s="11">
        <f>SUM(H54:H58)</f>
        <v>0</v>
      </c>
      <c r="J59" s="3">
        <f>SUM(J54:J58)-J50</f>
        <v>0</v>
      </c>
      <c r="K59" s="11">
        <f>SUM(K54:K58)</f>
        <v>0</v>
      </c>
    </row>
  </sheetData>
  <sheetProtection algorithmName="SHA-512" hashValue="zn9RRtragpM/F972wKywrk0xc5+EB1JXXMfyqvIk1ydXj5LD+9epnUOB2u2xlmrIi9WnSNAoGb1hVdtJYdAfKQ==" saltValue="VTWnlTix4pwX48btejUBSA==" spinCount="100000" sheet="1" objects="1" scenarios="1"/>
  <mergeCells count="4">
    <mergeCell ref="C12:E12"/>
    <mergeCell ref="I12:K12"/>
    <mergeCell ref="C52:E52"/>
    <mergeCell ref="I52:K5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Audrey Beck</dc:creator>
  <cp:lastModifiedBy>Audrey Beck</cp:lastModifiedBy>
  <dcterms:created xsi:type="dcterms:W3CDTF">2022-06-03T21:33:02Z</dcterms:created>
  <dcterms:modified xsi:type="dcterms:W3CDTF">2023-05-09T21:43:12Z</dcterms:modified>
</cp:coreProperties>
</file>