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harts/chart3.xml" ContentType="application/vnd.openxmlformats-officedocument.drawingml.chart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omments5.xml" ContentType="application/vnd.openxmlformats-officedocument.spreadsheetml.comments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omments6.xml" ContentType="application/vnd.openxmlformats-officedocument.spreadsheetml.comments+xml"/>
  <Override PartName="/xl/charts/chart8.xml" ContentType="application/vnd.openxmlformats-officedocument.drawingml.chart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checkCompatibility="1"/>
  <mc:AlternateContent xmlns:mc="http://schemas.openxmlformats.org/markup-compatibility/2006">
    <mc:Choice Requires="x15">
      <x15ac:absPath xmlns:x15ac="http://schemas.microsoft.com/office/spreadsheetml/2010/11/ac" url="\\DFAFSVR\lgdshare$\Budget and Finance Bureau\Special Projects\PROPERTY TAXES(protected info)\Property Tax Facts\2025 Property Tax Facts\Source Documents\"/>
    </mc:Choice>
  </mc:AlternateContent>
  <xr:revisionPtr revIDLastSave="0" documentId="13_ncr:1_{FD383D3D-F6AE-4DED-AB1A-850CF009E39F}" xr6:coauthVersionLast="47" xr6:coauthVersionMax="47" xr10:uidLastSave="{00000000-0000-0000-0000-000000000000}"/>
  <bookViews>
    <workbookView xWindow="28680" yWindow="-120" windowWidth="29040" windowHeight="15720" tabRatio="891" xr2:uid="{00000000-000D-0000-FFFF-FFFF00000000}"/>
  </bookViews>
  <sheets>
    <sheet name="table 1 &amp; 2" sheetId="3" r:id="rId1"/>
    <sheet name="Tables 3,4,&amp;5" sheetId="2" r:id="rId2"/>
    <sheet name="Tables 6 &amp; 7" sheetId="4" r:id="rId3"/>
    <sheet name="Table 8" sheetId="51" r:id="rId4"/>
    <sheet name="Tables 9 &amp; 10" sheetId="5" r:id="rId5"/>
    <sheet name="Tables 11 &amp; 12" sheetId="58" r:id="rId6"/>
    <sheet name="Tables 13 &amp; 14" sheetId="57" r:id="rId7"/>
    <sheet name="Tables 15 &amp; 16" sheetId="59" r:id="rId8"/>
    <sheet name="9" sheetId="49" state="hidden" r:id="rId9"/>
    <sheet name=" Table 17 part 1" sheetId="45" r:id="rId10"/>
    <sheet name="Table 17 part 2" sheetId="44" r:id="rId11"/>
    <sheet name="Table 18" sheetId="50" r:id="rId12"/>
    <sheet name="Table 19" sheetId="60" r:id="rId13"/>
    <sheet name="Table 20 part 1" sheetId="40" r:id="rId14"/>
    <sheet name="Table 20 part 2" sheetId="41" r:id="rId15"/>
    <sheet name="Table 21 part A" sheetId="48" r:id="rId16"/>
    <sheet name="Table 21 part B" sheetId="42" r:id="rId17"/>
    <sheet name="Table 22" sheetId="63" r:id="rId18"/>
  </sheets>
  <externalReferences>
    <externalReference r:id="rId19"/>
    <externalReference r:id="rId20"/>
    <externalReference r:id="rId21"/>
    <externalReference r:id="rId22"/>
  </externalReferences>
  <definedNames>
    <definedName name="\1">[1]CAVAL08!#REF!</definedName>
    <definedName name="\a">[1]CAVAL08!#REF!</definedName>
    <definedName name="\b">[1]CAVAL08!#REF!</definedName>
    <definedName name="\c">[1]CAVAL08!#REF!</definedName>
    <definedName name="\d">[1]CAVAL08!#REF!</definedName>
    <definedName name="\e">[1]CAVAL08!#REF!</definedName>
    <definedName name="\f">[1]CAVAL08!#REF!</definedName>
    <definedName name="\g">[1]CAVAL08!#REF!</definedName>
    <definedName name="\h">[1]CAVAL08!#REF!</definedName>
    <definedName name="\i">[1]CAVAL08!#REF!</definedName>
    <definedName name="\j">[1]CAVAL08!#REF!</definedName>
    <definedName name="\k">[1]CAVAL08!#REF!</definedName>
    <definedName name="\l">[1]CAVAL08!#REF!</definedName>
    <definedName name="\m">[1]CAVAL08!#REF!</definedName>
    <definedName name="\n">[1]CAVAL08!#REF!</definedName>
    <definedName name="\o">[1]CAVAL08!#REF!</definedName>
    <definedName name="\p">[1]CAVAL08!#REF!</definedName>
    <definedName name="\q">[1]CAVAL08!#REF!</definedName>
    <definedName name="\r">[1]CAVAL08!#REF!</definedName>
    <definedName name="\s">[1]CAVAL08!#REF!</definedName>
    <definedName name="\t">[1]CAVAL08!#REF!</definedName>
    <definedName name="\u">[1]CAVAL08!#REF!</definedName>
    <definedName name="\v">[1]CAVAL08!#REF!</definedName>
    <definedName name="\w">[1]CAVAL08!#REF!</definedName>
    <definedName name="\x">[1]CAVAL08!#REF!</definedName>
    <definedName name="\y">[1]CAVAL08!#REF!</definedName>
    <definedName name="\z">[1]CAVAL08!#REF!</definedName>
    <definedName name="_Fill" hidden="1">[1]CAVAL08!$BG$8:$BG$10</definedName>
    <definedName name="_GOTO_E7_">[1]CAVAL08!#REF!</definedName>
    <definedName name="AL">[2]Taos!$N$5</definedName>
    <definedName name="BERNALILLO_COUN">[1]CAVAL08!#REF!</definedName>
    <definedName name="Nonresidentialobl">[3]SanJuan!$B$5</definedName>
    <definedName name="_xlnm.Print_Area" localSheetId="9">' Table 17 part 1'!$B$1:$O$83</definedName>
    <definedName name="_xlnm.Print_Area" localSheetId="8">'9'!$C$1:$M$61</definedName>
    <definedName name="_xlnm.Print_Area" localSheetId="0">'table 1 &amp; 2'!$A$1:$H$90</definedName>
    <definedName name="_xlnm.Print_Area" localSheetId="10">'Table 17 part 2'!$B$1:$O$84</definedName>
    <definedName name="_xlnm.Print_Area" localSheetId="11">'Table 18'!$D$1:$L$57</definedName>
    <definedName name="_xlnm.Print_Area" localSheetId="12">'Table 19'!$B$2:$M$69</definedName>
    <definedName name="_xlnm.Print_Area" localSheetId="13">'Table 20 part 1'!$C$1:$K$65</definedName>
    <definedName name="_xlnm.Print_Area" localSheetId="14">'Table 20 part 2'!$C$1:$K$64</definedName>
    <definedName name="_xlnm.Print_Area" localSheetId="15">'Table 21 part A'!$C$1:$V$66</definedName>
    <definedName name="_xlnm.Print_Area" localSheetId="16">'Table 21 part B'!$C$1:$N$65</definedName>
    <definedName name="_xlnm.Print_Area" localSheetId="17">'Table 22'!$C$1:$O$97</definedName>
    <definedName name="_xlnm.Print_Area" localSheetId="3">'Table 8'!$B$1:$G$46</definedName>
    <definedName name="_xlnm.Print_Area" localSheetId="5">'Tables 11 &amp; 12'!$B$1:$N$85</definedName>
    <definedName name="_xlnm.Print_Area" localSheetId="6">'Tables 13 &amp; 14'!$B$1:$I$86</definedName>
    <definedName name="_xlnm.Print_Area" localSheetId="7">'Tables 15 &amp; 16'!$B$1:$AA$85</definedName>
    <definedName name="_xlnm.Print_Area" localSheetId="1">'Tables 3,4,&amp;5'!$B$1:$J$94</definedName>
    <definedName name="_xlnm.Print_Area" localSheetId="2">'Tables 6 &amp; 7'!$B$3:$G$93</definedName>
    <definedName name="_xlnm.Print_Area" localSheetId="4">'Tables 9 &amp; 10'!$B$1:$J$79</definedName>
    <definedName name="_xlnm.Print_Area">[1]CAVAL08!$A$1:$EF$78</definedName>
    <definedName name="PRINT_AREA_MI">[1]CAVAL08!$A$1:$EF$78</definedName>
    <definedName name="Residentialobl">[3]SanJuan!$B$4</definedName>
    <definedName name="Table1">[4]Tables!$F$5:$O$49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49" i="58" l="1"/>
  <c r="L78" i="5"/>
  <c r="K18" i="51"/>
  <c r="N14" i="60"/>
  <c r="G50" i="51" l="1"/>
  <c r="U69" i="63"/>
  <c r="AH12" i="48"/>
  <c r="AH11" i="48"/>
  <c r="AO10" i="40"/>
  <c r="AO11" i="40"/>
  <c r="AK11" i="40"/>
  <c r="AK10" i="40"/>
  <c r="AJ11" i="40"/>
  <c r="AJ10" i="40"/>
  <c r="AH61" i="41"/>
  <c r="AL61" i="41" s="1"/>
  <c r="AL62" i="41"/>
  <c r="N11" i="60"/>
  <c r="N10" i="60"/>
  <c r="X5" i="44"/>
  <c r="X12" i="44"/>
  <c r="W12" i="44"/>
  <c r="V12" i="44"/>
  <c r="W6" i="45"/>
  <c r="V5" i="44"/>
  <c r="S12" i="44"/>
  <c r="R12" i="44"/>
  <c r="Q12" i="44"/>
  <c r="AJ55" i="59"/>
  <c r="AJ54" i="59"/>
  <c r="AF55" i="59"/>
  <c r="AF54" i="59"/>
  <c r="AE55" i="59"/>
  <c r="AE54" i="59"/>
  <c r="AC50" i="59"/>
  <c r="AJ9" i="59"/>
  <c r="AJ10" i="59"/>
  <c r="AE9" i="59"/>
  <c r="AF9" i="59" s="1"/>
  <c r="AF10" i="59"/>
  <c r="AE10" i="59"/>
  <c r="AD24" i="59"/>
  <c r="O14" i="57"/>
  <c r="O13" i="57"/>
  <c r="N14" i="57"/>
  <c r="N13" i="57"/>
  <c r="O9" i="57"/>
  <c r="O8" i="57"/>
  <c r="N9" i="57"/>
  <c r="N8" i="57"/>
  <c r="AH62" i="41"/>
  <c r="AB62" i="41"/>
  <c r="I121" i="41"/>
  <c r="H121" i="41"/>
  <c r="G121" i="41"/>
  <c r="F121" i="41"/>
  <c r="D122" i="40"/>
  <c r="D123" i="40"/>
  <c r="AF116" i="40"/>
  <c r="AC116" i="40"/>
  <c r="I81" i="59" l="1"/>
  <c r="H81" i="59"/>
  <c r="G81" i="59"/>
  <c r="F81" i="59"/>
  <c r="E81" i="59"/>
  <c r="D81" i="59"/>
  <c r="Q71" i="5" l="1"/>
  <c r="Q70" i="5"/>
  <c r="Q69" i="5"/>
  <c r="Q68" i="5"/>
  <c r="Q67" i="5"/>
  <c r="Q66" i="5"/>
  <c r="Q65" i="5"/>
  <c r="Q64" i="5"/>
  <c r="Q63" i="5"/>
  <c r="Q62" i="5"/>
  <c r="C44" i="4" l="1"/>
  <c r="F58" i="2"/>
  <c r="E58" i="2"/>
  <c r="E62" i="2" s="1"/>
  <c r="D62" i="2"/>
  <c r="C62" i="2"/>
  <c r="E57" i="2"/>
  <c r="D57" i="2"/>
  <c r="C58" i="2"/>
  <c r="C45" i="2"/>
  <c r="L21" i="2"/>
  <c r="L13" i="2"/>
  <c r="J29" i="2"/>
  <c r="I29" i="2"/>
  <c r="H29" i="2"/>
  <c r="H28" i="2"/>
  <c r="G29" i="2"/>
  <c r="I32" i="2"/>
  <c r="H32" i="2"/>
  <c r="D32" i="2"/>
  <c r="F30" i="2"/>
  <c r="E30" i="2"/>
  <c r="D30" i="2"/>
  <c r="C30" i="2" s="1"/>
  <c r="F27" i="2"/>
  <c r="E27" i="2"/>
  <c r="D27" i="2"/>
  <c r="F24" i="2"/>
  <c r="E24" i="2"/>
  <c r="D24" i="2"/>
  <c r="F18" i="2"/>
  <c r="E18" i="2"/>
  <c r="D18" i="2"/>
  <c r="F14" i="2"/>
  <c r="E14" i="2"/>
  <c r="D14" i="2"/>
  <c r="B83" i="3"/>
  <c r="C14" i="2" l="1"/>
  <c r="H42" i="3" l="1"/>
  <c r="G42" i="3"/>
  <c r="F42" i="3"/>
  <c r="E42" i="3"/>
  <c r="D42" i="3"/>
  <c r="C42" i="3"/>
  <c r="D58" i="48" l="1"/>
  <c r="H62" i="48" l="1"/>
  <c r="H114" i="40"/>
  <c r="G9" i="40" l="1"/>
  <c r="G10" i="40"/>
  <c r="G11" i="40"/>
  <c r="G12" i="40"/>
  <c r="G13" i="40"/>
  <c r="G14" i="40"/>
  <c r="G15" i="40"/>
  <c r="G16" i="40"/>
  <c r="G17" i="40"/>
  <c r="G18" i="40"/>
  <c r="G19" i="40"/>
  <c r="G20" i="40"/>
  <c r="G21" i="40"/>
  <c r="G22" i="40"/>
  <c r="G23" i="40"/>
  <c r="G24" i="40"/>
  <c r="G25" i="40"/>
  <c r="G26" i="40"/>
  <c r="G27" i="40"/>
  <c r="G28" i="40"/>
  <c r="G29" i="40"/>
  <c r="G30" i="40"/>
  <c r="G31" i="40"/>
  <c r="G32" i="40"/>
  <c r="G33" i="40"/>
  <c r="G34" i="40"/>
  <c r="G35" i="40"/>
  <c r="G36" i="40"/>
  <c r="G37" i="40"/>
  <c r="G38" i="40"/>
  <c r="G39" i="40"/>
  <c r="G40" i="40"/>
  <c r="G41" i="40"/>
  <c r="G42" i="40"/>
  <c r="G43" i="40"/>
  <c r="G44" i="40"/>
  <c r="G45" i="40"/>
  <c r="G46" i="40"/>
  <c r="G47" i="40"/>
  <c r="G48" i="40"/>
  <c r="G49" i="40"/>
  <c r="G50" i="40"/>
  <c r="G51" i="40"/>
  <c r="G52" i="40"/>
  <c r="G53" i="40"/>
  <c r="G54" i="40"/>
  <c r="G55" i="40"/>
  <c r="G56" i="40"/>
  <c r="G57" i="40"/>
  <c r="G58" i="40"/>
  <c r="G59" i="40"/>
  <c r="G60" i="40"/>
  <c r="G61" i="40"/>
  <c r="G62" i="40"/>
  <c r="C10" i="2" l="1"/>
  <c r="C11" i="2"/>
  <c r="C12" i="2"/>
  <c r="C13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9" i="2"/>
  <c r="C31" i="2"/>
  <c r="C28" i="2" l="1"/>
  <c r="F8" i="59"/>
  <c r="F9" i="59"/>
  <c r="F10" i="59"/>
  <c r="F11" i="59"/>
  <c r="F12" i="59"/>
  <c r="F13" i="59"/>
  <c r="F14" i="59"/>
  <c r="F15" i="59"/>
  <c r="F16" i="59"/>
  <c r="F17" i="59"/>
  <c r="F18" i="59"/>
  <c r="F19" i="59"/>
  <c r="F20" i="59"/>
  <c r="F21" i="59"/>
  <c r="F22" i="59"/>
  <c r="F23" i="59"/>
  <c r="F24" i="59"/>
  <c r="F25" i="59"/>
  <c r="F26" i="59"/>
  <c r="F27" i="59"/>
  <c r="F28" i="59"/>
  <c r="F29" i="59"/>
  <c r="F30" i="59"/>
  <c r="F31" i="59"/>
  <c r="F32" i="59"/>
  <c r="F33" i="59"/>
  <c r="F34" i="59"/>
  <c r="F35" i="59"/>
  <c r="F36" i="59"/>
  <c r="F37" i="59"/>
  <c r="F38" i="59"/>
  <c r="F39" i="59"/>
  <c r="F40" i="59"/>
  <c r="S5" i="44"/>
  <c r="Y6" i="45"/>
  <c r="T6" i="45"/>
  <c r="W5" i="44"/>
  <c r="X6" i="45"/>
  <c r="R5" i="44"/>
  <c r="V11" i="44" l="1"/>
  <c r="W11" i="44"/>
  <c r="X11" i="44"/>
  <c r="S11" i="44"/>
  <c r="D52" i="2"/>
  <c r="L64" i="60" l="1"/>
  <c r="K64" i="60"/>
  <c r="J64" i="60"/>
  <c r="I24" i="51" l="1"/>
  <c r="I13" i="51"/>
  <c r="I11" i="51"/>
  <c r="I16" i="51" l="1"/>
  <c r="E9" i="3"/>
  <c r="B9" i="3" s="1"/>
  <c r="E10" i="3"/>
  <c r="B10" i="3" s="1"/>
  <c r="E11" i="3"/>
  <c r="E12" i="3"/>
  <c r="B12" i="3" s="1"/>
  <c r="E13" i="3"/>
  <c r="E14" i="3"/>
  <c r="B14" i="3" s="1"/>
  <c r="E15" i="3"/>
  <c r="B15" i="3" s="1"/>
  <c r="E16" i="3"/>
  <c r="B16" i="3" s="1"/>
  <c r="E17" i="3"/>
  <c r="E18" i="3"/>
  <c r="E19" i="3"/>
  <c r="B19" i="3" s="1"/>
  <c r="E20" i="3"/>
  <c r="E21" i="3"/>
  <c r="B21" i="3" s="1"/>
  <c r="E22" i="3"/>
  <c r="E23" i="3"/>
  <c r="B23" i="3" s="1"/>
  <c r="E24" i="3"/>
  <c r="B24" i="3" s="1"/>
  <c r="B25" i="3"/>
  <c r="E25" i="3"/>
  <c r="E26" i="3"/>
  <c r="E27" i="3"/>
  <c r="B27" i="3" s="1"/>
  <c r="E28" i="3"/>
  <c r="B28" i="3" s="1"/>
  <c r="E29" i="3"/>
  <c r="E30" i="3"/>
  <c r="E31" i="3"/>
  <c r="E32" i="3"/>
  <c r="E33" i="3"/>
  <c r="B33" i="3" s="1"/>
  <c r="E34" i="3"/>
  <c r="E35" i="3"/>
  <c r="B35" i="3" s="1"/>
  <c r="E36" i="3"/>
  <c r="B36" i="3" s="1"/>
  <c r="E37" i="3"/>
  <c r="B37" i="3" s="1"/>
  <c r="E38" i="3"/>
  <c r="B38" i="3" s="1"/>
  <c r="E39" i="3"/>
  <c r="B39" i="3" s="1"/>
  <c r="E40" i="3"/>
  <c r="E41" i="3"/>
  <c r="B41" i="3" s="1"/>
  <c r="D10" i="63"/>
  <c r="I61" i="42"/>
  <c r="H61" i="42"/>
  <c r="F61" i="42"/>
  <c r="E61" i="42"/>
  <c r="J61" i="42" l="1"/>
  <c r="G61" i="42"/>
  <c r="D61" i="42" s="1"/>
  <c r="AH10" i="48" s="1"/>
  <c r="Q5" i="44"/>
  <c r="S6" i="45"/>
  <c r="R11" i="44" s="1"/>
  <c r="R6" i="45"/>
  <c r="I64" i="60"/>
  <c r="C8" i="57"/>
  <c r="L73" i="5"/>
  <c r="I42" i="5"/>
  <c r="H42" i="5"/>
  <c r="F42" i="5"/>
  <c r="E42" i="5"/>
  <c r="I41" i="5"/>
  <c r="H41" i="5"/>
  <c r="F41" i="5"/>
  <c r="E41" i="5"/>
  <c r="I40" i="5"/>
  <c r="H40" i="5"/>
  <c r="F40" i="5"/>
  <c r="E40" i="5"/>
  <c r="I39" i="5"/>
  <c r="H39" i="5"/>
  <c r="F39" i="5"/>
  <c r="E39" i="5"/>
  <c r="I38" i="5"/>
  <c r="H38" i="5"/>
  <c r="F38" i="5"/>
  <c r="E38" i="5"/>
  <c r="I37" i="5"/>
  <c r="H37" i="5"/>
  <c r="F37" i="5"/>
  <c r="E37" i="5"/>
  <c r="I36" i="5"/>
  <c r="H36" i="5"/>
  <c r="F36" i="5"/>
  <c r="E36" i="5"/>
  <c r="I35" i="5"/>
  <c r="H35" i="5"/>
  <c r="F35" i="5"/>
  <c r="E35" i="5"/>
  <c r="I34" i="5"/>
  <c r="H34" i="5"/>
  <c r="F34" i="5"/>
  <c r="E34" i="5"/>
  <c r="I33" i="5"/>
  <c r="H33" i="5"/>
  <c r="F33" i="5"/>
  <c r="E33" i="5"/>
  <c r="I32" i="5"/>
  <c r="H32" i="5"/>
  <c r="F32" i="5"/>
  <c r="E32" i="5"/>
  <c r="I31" i="5"/>
  <c r="H31" i="5"/>
  <c r="F31" i="5"/>
  <c r="E31" i="5"/>
  <c r="I30" i="5"/>
  <c r="H30" i="5"/>
  <c r="F30" i="5"/>
  <c r="E30" i="5"/>
  <c r="I29" i="5"/>
  <c r="H29" i="5"/>
  <c r="F29" i="5"/>
  <c r="E29" i="5"/>
  <c r="I28" i="5"/>
  <c r="H28" i="5"/>
  <c r="F28" i="5"/>
  <c r="E28" i="5"/>
  <c r="I27" i="5"/>
  <c r="H27" i="5"/>
  <c r="F27" i="5"/>
  <c r="E27" i="5"/>
  <c r="I26" i="5"/>
  <c r="H26" i="5"/>
  <c r="F26" i="5"/>
  <c r="E26" i="5"/>
  <c r="I25" i="5"/>
  <c r="H25" i="5"/>
  <c r="F25" i="5"/>
  <c r="E25" i="5"/>
  <c r="I24" i="5"/>
  <c r="H24" i="5"/>
  <c r="F24" i="5"/>
  <c r="E24" i="5"/>
  <c r="I23" i="5"/>
  <c r="H23" i="5"/>
  <c r="F23" i="5"/>
  <c r="E23" i="5"/>
  <c r="I22" i="5"/>
  <c r="H22" i="5"/>
  <c r="F22" i="5"/>
  <c r="E22" i="5"/>
  <c r="I21" i="5"/>
  <c r="H21" i="5"/>
  <c r="F21" i="5"/>
  <c r="E21" i="5"/>
  <c r="I20" i="5"/>
  <c r="H20" i="5"/>
  <c r="F20" i="5"/>
  <c r="E20" i="5"/>
  <c r="I19" i="5"/>
  <c r="H19" i="5"/>
  <c r="F19" i="5"/>
  <c r="E19" i="5"/>
  <c r="I18" i="5"/>
  <c r="H18" i="5"/>
  <c r="F18" i="5"/>
  <c r="E18" i="5"/>
  <c r="I17" i="5"/>
  <c r="H17" i="5"/>
  <c r="F17" i="5"/>
  <c r="E17" i="5"/>
  <c r="I16" i="5"/>
  <c r="H16" i="5"/>
  <c r="F16" i="5"/>
  <c r="E16" i="5"/>
  <c r="I15" i="5"/>
  <c r="H15" i="5"/>
  <c r="F15" i="5"/>
  <c r="E15" i="5"/>
  <c r="I14" i="5"/>
  <c r="H14" i="5"/>
  <c r="F14" i="5"/>
  <c r="E14" i="5"/>
  <c r="I13" i="5"/>
  <c r="H13" i="5"/>
  <c r="I11" i="5"/>
  <c r="H11" i="5"/>
  <c r="I10" i="5"/>
  <c r="H10" i="5"/>
  <c r="F13" i="5"/>
  <c r="E13" i="5"/>
  <c r="I12" i="5"/>
  <c r="H12" i="5"/>
  <c r="F12" i="5"/>
  <c r="E12" i="5"/>
  <c r="F11" i="5"/>
  <c r="E11" i="5"/>
  <c r="F10" i="5"/>
  <c r="E10" i="5"/>
  <c r="F42" i="4"/>
  <c r="E42" i="4"/>
  <c r="F41" i="4"/>
  <c r="E41" i="4"/>
  <c r="F40" i="4"/>
  <c r="E40" i="4"/>
  <c r="F39" i="4"/>
  <c r="E39" i="4"/>
  <c r="F38" i="4"/>
  <c r="E38" i="4"/>
  <c r="F37" i="4"/>
  <c r="E37" i="4"/>
  <c r="F36" i="4"/>
  <c r="E36" i="4"/>
  <c r="F35" i="4"/>
  <c r="E35" i="4"/>
  <c r="F34" i="4"/>
  <c r="E34" i="4"/>
  <c r="F33" i="4"/>
  <c r="E33" i="4"/>
  <c r="F32" i="4"/>
  <c r="E32" i="4"/>
  <c r="F31" i="4"/>
  <c r="E31" i="4"/>
  <c r="F30" i="4"/>
  <c r="E30" i="4"/>
  <c r="F29" i="4"/>
  <c r="E29" i="4"/>
  <c r="F28" i="4"/>
  <c r="E28" i="4"/>
  <c r="F27" i="4"/>
  <c r="E27" i="4"/>
  <c r="F26" i="4"/>
  <c r="E26" i="4"/>
  <c r="F25" i="4"/>
  <c r="E25" i="4"/>
  <c r="F24" i="4"/>
  <c r="E24" i="4"/>
  <c r="F23" i="4"/>
  <c r="E23" i="4"/>
  <c r="F22" i="4"/>
  <c r="E22" i="4"/>
  <c r="F21" i="4"/>
  <c r="E21" i="4"/>
  <c r="F20" i="4"/>
  <c r="E20" i="4"/>
  <c r="F19" i="4"/>
  <c r="E19" i="4"/>
  <c r="F18" i="4"/>
  <c r="E18" i="4"/>
  <c r="F17" i="4"/>
  <c r="E17" i="4"/>
  <c r="F16" i="4"/>
  <c r="E16" i="4"/>
  <c r="F15" i="4"/>
  <c r="E15" i="4"/>
  <c r="F14" i="4"/>
  <c r="E14" i="4"/>
  <c r="F13" i="4"/>
  <c r="E13" i="4"/>
  <c r="F12" i="4"/>
  <c r="E12" i="4"/>
  <c r="F11" i="4"/>
  <c r="E11" i="4"/>
  <c r="F10" i="4"/>
  <c r="E10" i="4"/>
  <c r="D42" i="4"/>
  <c r="C42" i="4"/>
  <c r="D41" i="4"/>
  <c r="C41" i="4"/>
  <c r="D40" i="4"/>
  <c r="C40" i="4"/>
  <c r="D39" i="4"/>
  <c r="C39" i="4"/>
  <c r="D38" i="4"/>
  <c r="C38" i="4"/>
  <c r="D37" i="4"/>
  <c r="C37" i="4"/>
  <c r="D36" i="4"/>
  <c r="C36" i="4"/>
  <c r="D35" i="4"/>
  <c r="C35" i="4"/>
  <c r="D34" i="4"/>
  <c r="C34" i="4"/>
  <c r="D33" i="4"/>
  <c r="C33" i="4"/>
  <c r="D32" i="4"/>
  <c r="C32" i="4"/>
  <c r="D31" i="4"/>
  <c r="C31" i="4"/>
  <c r="D30" i="4"/>
  <c r="C30" i="4"/>
  <c r="D29" i="4"/>
  <c r="C29" i="4"/>
  <c r="D28" i="4"/>
  <c r="C28" i="4"/>
  <c r="D27" i="4"/>
  <c r="C27" i="4"/>
  <c r="D26" i="4"/>
  <c r="C26" i="4"/>
  <c r="D25" i="4"/>
  <c r="C25" i="4"/>
  <c r="D24" i="4"/>
  <c r="C24" i="4"/>
  <c r="D23" i="4"/>
  <c r="C23" i="4"/>
  <c r="D22" i="4"/>
  <c r="C22" i="4"/>
  <c r="D21" i="4"/>
  <c r="C21" i="4"/>
  <c r="D20" i="4"/>
  <c r="C20" i="4"/>
  <c r="D19" i="4"/>
  <c r="C19" i="4"/>
  <c r="D18" i="4"/>
  <c r="C18" i="4"/>
  <c r="D17" i="4"/>
  <c r="C17" i="4"/>
  <c r="D16" i="4"/>
  <c r="C16" i="4"/>
  <c r="D15" i="4"/>
  <c r="C15" i="4"/>
  <c r="D14" i="4"/>
  <c r="C14" i="4"/>
  <c r="D13" i="4"/>
  <c r="C13" i="4"/>
  <c r="D12" i="4"/>
  <c r="C12" i="4"/>
  <c r="D11" i="4"/>
  <c r="C11" i="4"/>
  <c r="D10" i="4"/>
  <c r="C10" i="4"/>
  <c r="Q11" i="44" l="1"/>
  <c r="E44" i="4"/>
  <c r="D44" i="4"/>
  <c r="F44" i="4"/>
  <c r="I40" i="57"/>
  <c r="H40" i="57"/>
  <c r="G40" i="57"/>
  <c r="F40" i="57"/>
  <c r="E40" i="57"/>
  <c r="D40" i="57"/>
  <c r="C40" i="57"/>
  <c r="I38" i="57"/>
  <c r="H38" i="57"/>
  <c r="G38" i="57"/>
  <c r="F38" i="57"/>
  <c r="E38" i="57"/>
  <c r="D38" i="57"/>
  <c r="C38" i="57"/>
  <c r="I37" i="57"/>
  <c r="H37" i="57"/>
  <c r="G37" i="57"/>
  <c r="F37" i="57"/>
  <c r="E37" i="57"/>
  <c r="D37" i="57"/>
  <c r="C37" i="57"/>
  <c r="I36" i="57"/>
  <c r="H36" i="57"/>
  <c r="G36" i="57"/>
  <c r="F36" i="57"/>
  <c r="E36" i="57"/>
  <c r="D36" i="57"/>
  <c r="C36" i="57"/>
  <c r="I35" i="57"/>
  <c r="H35" i="57"/>
  <c r="G35" i="57"/>
  <c r="F35" i="57"/>
  <c r="E35" i="57"/>
  <c r="D35" i="57"/>
  <c r="C35" i="57"/>
  <c r="I34" i="57"/>
  <c r="H34" i="57"/>
  <c r="G34" i="57"/>
  <c r="F34" i="57"/>
  <c r="E34" i="57"/>
  <c r="D34" i="57"/>
  <c r="C34" i="57"/>
  <c r="I32" i="57"/>
  <c r="H32" i="57"/>
  <c r="G32" i="57"/>
  <c r="F32" i="57"/>
  <c r="E32" i="57"/>
  <c r="D32" i="57"/>
  <c r="C32" i="57"/>
  <c r="I27" i="57"/>
  <c r="H27" i="57"/>
  <c r="G27" i="57"/>
  <c r="F27" i="57"/>
  <c r="E27" i="57"/>
  <c r="D27" i="57"/>
  <c r="C27" i="57"/>
  <c r="I26" i="57"/>
  <c r="H26" i="57"/>
  <c r="G26" i="57"/>
  <c r="F26" i="57"/>
  <c r="E26" i="57"/>
  <c r="D26" i="57"/>
  <c r="C26" i="57"/>
  <c r="I24" i="57"/>
  <c r="H24" i="57"/>
  <c r="G24" i="57"/>
  <c r="F24" i="57"/>
  <c r="E24" i="57"/>
  <c r="D24" i="57"/>
  <c r="C24" i="57"/>
  <c r="I23" i="57"/>
  <c r="H23" i="57"/>
  <c r="G23" i="57"/>
  <c r="F23" i="57"/>
  <c r="E23" i="57"/>
  <c r="D23" i="57"/>
  <c r="C23" i="57"/>
  <c r="I22" i="57"/>
  <c r="H22" i="57"/>
  <c r="G22" i="57"/>
  <c r="F22" i="57"/>
  <c r="E22" i="57"/>
  <c r="C20" i="57"/>
  <c r="C18" i="57"/>
  <c r="C15" i="57"/>
  <c r="C14" i="57"/>
  <c r="C13" i="57"/>
  <c r="C11" i="57"/>
  <c r="C9" i="57"/>
  <c r="C22" i="57"/>
  <c r="D22" i="57"/>
  <c r="I20" i="57"/>
  <c r="H20" i="57"/>
  <c r="G20" i="57"/>
  <c r="F20" i="57"/>
  <c r="E20" i="57"/>
  <c r="D20" i="57"/>
  <c r="I18" i="57"/>
  <c r="H18" i="57"/>
  <c r="G18" i="57"/>
  <c r="F18" i="57"/>
  <c r="E18" i="57"/>
  <c r="D18" i="57"/>
  <c r="I15" i="57"/>
  <c r="H15" i="57"/>
  <c r="G15" i="57"/>
  <c r="F15" i="57"/>
  <c r="E15" i="57"/>
  <c r="D15" i="57"/>
  <c r="I14" i="57"/>
  <c r="H14" i="57"/>
  <c r="G14" i="57"/>
  <c r="F14" i="57"/>
  <c r="E14" i="57"/>
  <c r="D14" i="57"/>
  <c r="I13" i="57"/>
  <c r="H13" i="57"/>
  <c r="G13" i="57"/>
  <c r="F13" i="57"/>
  <c r="E13" i="57"/>
  <c r="D13" i="57"/>
  <c r="I11" i="57"/>
  <c r="H11" i="57"/>
  <c r="G11" i="57"/>
  <c r="F11" i="57"/>
  <c r="E11" i="57"/>
  <c r="D11" i="57"/>
  <c r="I9" i="57"/>
  <c r="H9" i="57"/>
  <c r="G9" i="57"/>
  <c r="F9" i="57"/>
  <c r="E9" i="57"/>
  <c r="D9" i="57"/>
  <c r="I8" i="57"/>
  <c r="H8" i="57"/>
  <c r="G8" i="57"/>
  <c r="F8" i="57"/>
  <c r="E8" i="57"/>
  <c r="D8" i="57"/>
  <c r="I18" i="51" l="1"/>
  <c r="I61" i="41" l="1"/>
  <c r="H61" i="41"/>
  <c r="F61" i="41"/>
  <c r="E61" i="41"/>
  <c r="E82" i="2" l="1"/>
  <c r="D83" i="2" s="1"/>
  <c r="E80" i="2"/>
  <c r="D81" i="2" s="1"/>
  <c r="C83" i="2" l="1"/>
  <c r="E83" i="2" s="1"/>
  <c r="C81" i="2"/>
  <c r="E81" i="2" s="1"/>
  <c r="F60" i="2"/>
  <c r="E51" i="2"/>
  <c r="D53" i="2"/>
  <c r="D19" i="63" l="1"/>
  <c r="J14" i="48"/>
  <c r="G9" i="48"/>
  <c r="J13" i="40"/>
  <c r="E70" i="5" l="1"/>
  <c r="L63" i="63" l="1"/>
  <c r="M63" i="63"/>
  <c r="N63" i="63"/>
  <c r="O63" i="63"/>
  <c r="G60" i="41" l="1"/>
  <c r="N12" i="60"/>
  <c r="M20" i="5" l="1"/>
  <c r="M10" i="5"/>
  <c r="M56" i="5" s="1"/>
  <c r="H11" i="3" l="1"/>
  <c r="B11" i="3" l="1"/>
  <c r="I10" i="57" s="1"/>
  <c r="J58" i="48"/>
  <c r="H10" i="57" l="1"/>
  <c r="D10" i="57"/>
  <c r="C10" i="57"/>
  <c r="G10" i="57"/>
  <c r="F10" i="57"/>
  <c r="E10" i="57"/>
  <c r="H18" i="3" l="1"/>
  <c r="B18" i="3" l="1"/>
  <c r="I17" i="57" s="1"/>
  <c r="D58" i="2"/>
  <c r="G17" i="57" l="1"/>
  <c r="F17" i="57"/>
  <c r="E17" i="57"/>
  <c r="H17" i="57"/>
  <c r="C17" i="57"/>
  <c r="D17" i="57"/>
  <c r="T14" i="40"/>
  <c r="S14" i="40"/>
  <c r="T13" i="40"/>
  <c r="S13" i="40"/>
  <c r="T12" i="40"/>
  <c r="S12" i="40"/>
  <c r="T11" i="40"/>
  <c r="S11" i="40"/>
  <c r="T10" i="40"/>
  <c r="S10" i="40"/>
  <c r="H17" i="3" l="1"/>
  <c r="B17" i="3" l="1"/>
  <c r="I16" i="57" s="1"/>
  <c r="F66" i="2"/>
  <c r="F65" i="2"/>
  <c r="E66" i="2"/>
  <c r="E65" i="2"/>
  <c r="D66" i="2"/>
  <c r="D65" i="2"/>
  <c r="F61" i="2"/>
  <c r="F59" i="2"/>
  <c r="F57" i="2"/>
  <c r="E61" i="2"/>
  <c r="E60" i="2"/>
  <c r="E59" i="2"/>
  <c r="D61" i="2"/>
  <c r="D60" i="2"/>
  <c r="D59" i="2"/>
  <c r="F53" i="2"/>
  <c r="F52" i="2"/>
  <c r="F51" i="2"/>
  <c r="E53" i="2"/>
  <c r="E52" i="2"/>
  <c r="D51" i="2"/>
  <c r="F42" i="2"/>
  <c r="E42" i="2"/>
  <c r="D42" i="2"/>
  <c r="M17" i="5"/>
  <c r="M63" i="5" s="1"/>
  <c r="M11" i="5"/>
  <c r="M57" i="5" s="1"/>
  <c r="M12" i="5"/>
  <c r="M58" i="5" s="1"/>
  <c r="M13" i="5"/>
  <c r="M59" i="5" s="1"/>
  <c r="M14" i="5"/>
  <c r="M60" i="5" s="1"/>
  <c r="M15" i="5"/>
  <c r="M61" i="5" s="1"/>
  <c r="M16" i="5"/>
  <c r="M62" i="5" s="1"/>
  <c r="M18" i="5"/>
  <c r="M64" i="5" s="1"/>
  <c r="M19" i="5"/>
  <c r="M65" i="5" s="1"/>
  <c r="M66" i="5"/>
  <c r="M21" i="5"/>
  <c r="M67" i="5" s="1"/>
  <c r="M22" i="5"/>
  <c r="M68" i="5" s="1"/>
  <c r="M23" i="5"/>
  <c r="M69" i="5" s="1"/>
  <c r="M24" i="5"/>
  <c r="M70" i="5" s="1"/>
  <c r="M25" i="5"/>
  <c r="M71" i="5" s="1"/>
  <c r="M26" i="5"/>
  <c r="M72" i="5" s="1"/>
  <c r="M27" i="5"/>
  <c r="Q56" i="5" s="1"/>
  <c r="M28" i="5"/>
  <c r="Q57" i="5" s="1"/>
  <c r="M29" i="5"/>
  <c r="Q58" i="5" s="1"/>
  <c r="M30" i="5"/>
  <c r="Q59" i="5" s="1"/>
  <c r="M31" i="5"/>
  <c r="Q60" i="5" s="1"/>
  <c r="M32" i="5"/>
  <c r="Q61" i="5" s="1"/>
  <c r="M33" i="5"/>
  <c r="M34" i="5"/>
  <c r="M35" i="5"/>
  <c r="M36" i="5"/>
  <c r="M37" i="5"/>
  <c r="M38" i="5"/>
  <c r="M39" i="5"/>
  <c r="M40" i="5"/>
  <c r="M41" i="5"/>
  <c r="M42" i="5"/>
  <c r="F2" i="63"/>
  <c r="K5" i="63" s="1"/>
  <c r="G60" i="42"/>
  <c r="G59" i="42"/>
  <c r="G58" i="42"/>
  <c r="G57" i="42"/>
  <c r="G56" i="42"/>
  <c r="G55" i="42"/>
  <c r="D55" i="42" s="1"/>
  <c r="G54" i="42"/>
  <c r="G53" i="42"/>
  <c r="G52" i="42"/>
  <c r="G51" i="42"/>
  <c r="G50" i="42"/>
  <c r="D50" i="42" s="1"/>
  <c r="G49" i="42"/>
  <c r="G48" i="42"/>
  <c r="G47" i="42"/>
  <c r="G46" i="42"/>
  <c r="G45" i="42"/>
  <c r="G44" i="42"/>
  <c r="G43" i="42"/>
  <c r="G42" i="42"/>
  <c r="G41" i="42"/>
  <c r="G40" i="42"/>
  <c r="G39" i="42"/>
  <c r="G38" i="42"/>
  <c r="G37" i="42"/>
  <c r="G36" i="42"/>
  <c r="G35" i="42"/>
  <c r="G34" i="42"/>
  <c r="G33" i="42"/>
  <c r="G32" i="42"/>
  <c r="G31" i="42"/>
  <c r="G30" i="42"/>
  <c r="G29" i="42"/>
  <c r="G28" i="42"/>
  <c r="G27" i="42"/>
  <c r="G26" i="42"/>
  <c r="G25" i="42"/>
  <c r="G24" i="42"/>
  <c r="G23" i="42"/>
  <c r="D23" i="42" s="1"/>
  <c r="G22" i="42"/>
  <c r="G21" i="42"/>
  <c r="G20" i="42"/>
  <c r="G19" i="42"/>
  <c r="G18" i="42"/>
  <c r="D18" i="42" s="1"/>
  <c r="G17" i="42"/>
  <c r="G16" i="42"/>
  <c r="G15" i="42"/>
  <c r="G14" i="42"/>
  <c r="G13" i="42"/>
  <c r="G12" i="42"/>
  <c r="G11" i="42"/>
  <c r="G10" i="42"/>
  <c r="F2" i="42"/>
  <c r="I5" i="42" s="1"/>
  <c r="F2" i="48"/>
  <c r="I5" i="48" s="1"/>
  <c r="F2" i="41"/>
  <c r="G5" i="41" s="1"/>
  <c r="J61" i="40"/>
  <c r="F2" i="40"/>
  <c r="F5" i="40" s="1"/>
  <c r="E3" i="60"/>
  <c r="I6" i="60" s="1"/>
  <c r="H2" i="50"/>
  <c r="G2" i="44"/>
  <c r="I5" i="44" s="1"/>
  <c r="G2" i="45"/>
  <c r="G5" i="45" s="1"/>
  <c r="E2" i="59"/>
  <c r="H44" i="59" s="1"/>
  <c r="D1" i="51"/>
  <c r="E5" i="51" s="1"/>
  <c r="E84" i="2"/>
  <c r="D84" i="2"/>
  <c r="D87" i="2" s="1"/>
  <c r="C84" i="2"/>
  <c r="C87" i="2" s="1"/>
  <c r="I8" i="59"/>
  <c r="I9" i="59"/>
  <c r="I10" i="59"/>
  <c r="I11" i="59"/>
  <c r="I12" i="59"/>
  <c r="I13" i="59"/>
  <c r="I14" i="59"/>
  <c r="I15" i="59"/>
  <c r="I16" i="59"/>
  <c r="I17" i="59"/>
  <c r="I18" i="59"/>
  <c r="I19" i="59"/>
  <c r="I20" i="59"/>
  <c r="I21" i="59"/>
  <c r="I22" i="59"/>
  <c r="I23" i="59"/>
  <c r="I24" i="59"/>
  <c r="I25" i="59"/>
  <c r="I26" i="59"/>
  <c r="I27" i="59"/>
  <c r="I28" i="59"/>
  <c r="I29" i="59"/>
  <c r="I30" i="59"/>
  <c r="I31" i="59"/>
  <c r="I32" i="59"/>
  <c r="I33" i="59"/>
  <c r="I34" i="59"/>
  <c r="I35" i="59"/>
  <c r="I36" i="59"/>
  <c r="I37" i="59"/>
  <c r="I38" i="59"/>
  <c r="I39" i="59"/>
  <c r="I40" i="59"/>
  <c r="C43" i="5"/>
  <c r="M43" i="5" s="1"/>
  <c r="D84" i="3"/>
  <c r="E51" i="3"/>
  <c r="H51" i="3"/>
  <c r="E52" i="3"/>
  <c r="H52" i="3"/>
  <c r="E53" i="3"/>
  <c r="H53" i="3"/>
  <c r="E54" i="3"/>
  <c r="H54" i="3"/>
  <c r="E55" i="3"/>
  <c r="H55" i="3"/>
  <c r="E56" i="3"/>
  <c r="H56" i="3"/>
  <c r="E57" i="3"/>
  <c r="H57" i="3"/>
  <c r="E58" i="3"/>
  <c r="H58" i="3"/>
  <c r="E59" i="3"/>
  <c r="H59" i="3"/>
  <c r="E60" i="3"/>
  <c r="H60" i="3"/>
  <c r="E61" i="3"/>
  <c r="H61" i="3"/>
  <c r="E62" i="3"/>
  <c r="H62" i="3"/>
  <c r="E63" i="3"/>
  <c r="H63" i="3"/>
  <c r="E64" i="3"/>
  <c r="H64" i="3"/>
  <c r="E65" i="3"/>
  <c r="H65" i="3"/>
  <c r="E66" i="3"/>
  <c r="H66" i="3"/>
  <c r="E67" i="3"/>
  <c r="H67" i="3"/>
  <c r="E68" i="3"/>
  <c r="H68" i="3"/>
  <c r="E69" i="3"/>
  <c r="H69" i="3"/>
  <c r="E70" i="3"/>
  <c r="H70" i="3"/>
  <c r="E71" i="3"/>
  <c r="H71" i="3"/>
  <c r="E72" i="3"/>
  <c r="H72" i="3"/>
  <c r="E73" i="3"/>
  <c r="H73" i="3"/>
  <c r="E74" i="3"/>
  <c r="H74" i="3"/>
  <c r="E75" i="3"/>
  <c r="H75" i="3"/>
  <c r="E76" i="3"/>
  <c r="H76" i="3"/>
  <c r="E77" i="3"/>
  <c r="H77" i="3"/>
  <c r="E78" i="3"/>
  <c r="H78" i="3"/>
  <c r="E79" i="3"/>
  <c r="H79" i="3"/>
  <c r="E80" i="3"/>
  <c r="H80" i="3"/>
  <c r="E81" i="3"/>
  <c r="H81" i="3"/>
  <c r="E82" i="3"/>
  <c r="H82" i="3"/>
  <c r="E83" i="3"/>
  <c r="H83" i="3"/>
  <c r="G84" i="3"/>
  <c r="F84" i="3"/>
  <c r="C84" i="3"/>
  <c r="H13" i="3"/>
  <c r="H20" i="3"/>
  <c r="H22" i="3"/>
  <c r="H26" i="3"/>
  <c r="H29" i="3"/>
  <c r="H30" i="3"/>
  <c r="H31" i="3"/>
  <c r="H32" i="3"/>
  <c r="H34" i="3"/>
  <c r="H40" i="3"/>
  <c r="K61" i="63"/>
  <c r="K60" i="63"/>
  <c r="K59" i="63"/>
  <c r="K58" i="63"/>
  <c r="K57" i="63"/>
  <c r="K56" i="63"/>
  <c r="K55" i="63"/>
  <c r="K54" i="63"/>
  <c r="K53" i="63"/>
  <c r="K52" i="63"/>
  <c r="K51" i="63"/>
  <c r="K50" i="63"/>
  <c r="K49" i="63"/>
  <c r="K48" i="63"/>
  <c r="K47" i="63"/>
  <c r="K46" i="63"/>
  <c r="K45" i="63"/>
  <c r="K44" i="63"/>
  <c r="K43" i="63"/>
  <c r="K42" i="63"/>
  <c r="K41" i="63"/>
  <c r="K40" i="63"/>
  <c r="K39" i="63"/>
  <c r="K38" i="63"/>
  <c r="K37" i="63"/>
  <c r="K36" i="63"/>
  <c r="K35" i="63"/>
  <c r="K34" i="63"/>
  <c r="K33" i="63"/>
  <c r="K32" i="63"/>
  <c r="K31" i="63"/>
  <c r="K30" i="63"/>
  <c r="K29" i="63"/>
  <c r="K28" i="63"/>
  <c r="K27" i="63"/>
  <c r="K26" i="63"/>
  <c r="K25" i="63"/>
  <c r="K24" i="63"/>
  <c r="K23" i="63"/>
  <c r="K22" i="63"/>
  <c r="K21" i="63"/>
  <c r="K20" i="63"/>
  <c r="K19" i="63"/>
  <c r="K18" i="63"/>
  <c r="K17" i="63"/>
  <c r="K16" i="63"/>
  <c r="K15" i="63"/>
  <c r="K14" i="63"/>
  <c r="K13" i="63"/>
  <c r="K12" i="63"/>
  <c r="K11" i="63"/>
  <c r="K10" i="63"/>
  <c r="D63" i="63"/>
  <c r="D61" i="63"/>
  <c r="D60" i="63"/>
  <c r="D59" i="63"/>
  <c r="D58" i="63"/>
  <c r="D57" i="63"/>
  <c r="D56" i="63"/>
  <c r="D55" i="63"/>
  <c r="D54" i="63"/>
  <c r="D53" i="63"/>
  <c r="D52" i="63"/>
  <c r="D51" i="63"/>
  <c r="D50" i="63"/>
  <c r="D49" i="63"/>
  <c r="D48" i="63"/>
  <c r="D47" i="63"/>
  <c r="D46" i="63"/>
  <c r="D45" i="63"/>
  <c r="D44" i="63"/>
  <c r="D43" i="63"/>
  <c r="D42" i="63"/>
  <c r="D41" i="63"/>
  <c r="D40" i="63"/>
  <c r="D39" i="63"/>
  <c r="D38" i="63"/>
  <c r="D37" i="63"/>
  <c r="D36" i="63"/>
  <c r="D35" i="63"/>
  <c r="D34" i="63"/>
  <c r="D33" i="63"/>
  <c r="D32" i="63"/>
  <c r="D31" i="63"/>
  <c r="D30" i="63"/>
  <c r="D29" i="63"/>
  <c r="D28" i="63"/>
  <c r="D27" i="63"/>
  <c r="D26" i="63"/>
  <c r="D25" i="63"/>
  <c r="D24" i="63"/>
  <c r="D23" i="63"/>
  <c r="D22" i="63"/>
  <c r="D21" i="63"/>
  <c r="D20" i="63"/>
  <c r="D18" i="63"/>
  <c r="D17" i="63"/>
  <c r="D16" i="63"/>
  <c r="D15" i="63"/>
  <c r="D14" i="63"/>
  <c r="D13" i="63"/>
  <c r="D12" i="63"/>
  <c r="D11" i="63"/>
  <c r="D48" i="42"/>
  <c r="D31" i="42"/>
  <c r="D16" i="42"/>
  <c r="G9" i="42"/>
  <c r="J62" i="48"/>
  <c r="J60" i="48"/>
  <c r="J57" i="48"/>
  <c r="J56" i="48"/>
  <c r="J55" i="48"/>
  <c r="J54" i="48"/>
  <c r="J53" i="48"/>
  <c r="J52" i="48"/>
  <c r="J51" i="48"/>
  <c r="J50" i="48"/>
  <c r="J49" i="48"/>
  <c r="J48" i="48"/>
  <c r="J47" i="48"/>
  <c r="J46" i="48"/>
  <c r="J45" i="48"/>
  <c r="J44" i="48"/>
  <c r="J43" i="48"/>
  <c r="J42" i="48"/>
  <c r="J41" i="48"/>
  <c r="J40" i="48"/>
  <c r="J39" i="48"/>
  <c r="J38" i="48"/>
  <c r="J37" i="48"/>
  <c r="J36" i="48"/>
  <c r="J35" i="48"/>
  <c r="J34" i="48"/>
  <c r="J33" i="48"/>
  <c r="J32" i="48"/>
  <c r="J31" i="48"/>
  <c r="J30" i="48"/>
  <c r="J29" i="48"/>
  <c r="J28" i="48"/>
  <c r="J27" i="48"/>
  <c r="J26" i="48"/>
  <c r="J25" i="48"/>
  <c r="J24" i="48"/>
  <c r="J23" i="48"/>
  <c r="J22" i="48"/>
  <c r="J21" i="48"/>
  <c r="J20" i="48"/>
  <c r="J19" i="48"/>
  <c r="J18" i="48"/>
  <c r="J17" i="48"/>
  <c r="J16" i="48"/>
  <c r="J15" i="48"/>
  <c r="J13" i="48"/>
  <c r="J12" i="48"/>
  <c r="J11" i="48"/>
  <c r="J10" i="48"/>
  <c r="G62" i="48"/>
  <c r="G60" i="48"/>
  <c r="G59" i="48"/>
  <c r="D59" i="48" s="1"/>
  <c r="G58" i="48"/>
  <c r="G57" i="48"/>
  <c r="G56" i="48"/>
  <c r="G55" i="48"/>
  <c r="G54" i="48"/>
  <c r="D54" i="48" s="1"/>
  <c r="G53" i="48"/>
  <c r="G52" i="48"/>
  <c r="G51" i="48"/>
  <c r="G50" i="48"/>
  <c r="G49" i="48"/>
  <c r="G48" i="48"/>
  <c r="G47" i="48"/>
  <c r="G46" i="48"/>
  <c r="G45" i="48"/>
  <c r="G44" i="48"/>
  <c r="G43" i="48"/>
  <c r="G42" i="48"/>
  <c r="D42" i="48" s="1"/>
  <c r="G41" i="48"/>
  <c r="G40" i="48"/>
  <c r="G39" i="48"/>
  <c r="G38" i="48"/>
  <c r="G37" i="48"/>
  <c r="G36" i="48"/>
  <c r="G35" i="48"/>
  <c r="G34" i="48"/>
  <c r="G33" i="48"/>
  <c r="G32" i="48"/>
  <c r="G31" i="48"/>
  <c r="G30" i="48"/>
  <c r="G29" i="48"/>
  <c r="G28" i="48"/>
  <c r="D28" i="48" s="1"/>
  <c r="G27" i="48"/>
  <c r="D27" i="48" s="1"/>
  <c r="G26" i="48"/>
  <c r="D26" i="48" s="1"/>
  <c r="G25" i="48"/>
  <c r="G24" i="48"/>
  <c r="G23" i="48"/>
  <c r="G22" i="48"/>
  <c r="G21" i="48"/>
  <c r="G20" i="48"/>
  <c r="G19" i="48"/>
  <c r="G18" i="48"/>
  <c r="G17" i="48"/>
  <c r="G16" i="48"/>
  <c r="G15" i="48"/>
  <c r="G14" i="48"/>
  <c r="D14" i="48" s="1"/>
  <c r="G13" i="48"/>
  <c r="G12" i="48"/>
  <c r="G11" i="48"/>
  <c r="D11" i="48" s="1"/>
  <c r="G10" i="48"/>
  <c r="J9" i="48"/>
  <c r="D9" i="48" s="1"/>
  <c r="D60" i="41"/>
  <c r="G59" i="41"/>
  <c r="G58" i="41"/>
  <c r="G57" i="41"/>
  <c r="G56" i="41"/>
  <c r="G55" i="41"/>
  <c r="G54" i="41"/>
  <c r="G53" i="41"/>
  <c r="G52" i="41"/>
  <c r="G51" i="41"/>
  <c r="G50" i="41"/>
  <c r="G49" i="41"/>
  <c r="G48" i="41"/>
  <c r="D48" i="41" s="1"/>
  <c r="G47" i="41"/>
  <c r="G46" i="41"/>
  <c r="G45" i="41"/>
  <c r="G44" i="41"/>
  <c r="G43" i="41"/>
  <c r="D43" i="41" s="1"/>
  <c r="D101" i="41" s="1"/>
  <c r="G42" i="41"/>
  <c r="D42" i="41" s="1"/>
  <c r="G41" i="41"/>
  <c r="G40" i="41"/>
  <c r="D40" i="41" s="1"/>
  <c r="G39" i="41"/>
  <c r="G38" i="41"/>
  <c r="G37" i="41"/>
  <c r="G36" i="41"/>
  <c r="D36" i="41" s="1"/>
  <c r="D94" i="41" s="1"/>
  <c r="G35" i="41"/>
  <c r="G34" i="41"/>
  <c r="G33" i="41"/>
  <c r="D33" i="41" s="1"/>
  <c r="G32" i="41"/>
  <c r="G31" i="41"/>
  <c r="G30" i="41"/>
  <c r="G29" i="41"/>
  <c r="D29" i="41" s="1"/>
  <c r="D87" i="41" s="1"/>
  <c r="H87" i="41" s="1"/>
  <c r="G28" i="41"/>
  <c r="G27" i="41"/>
  <c r="G26" i="41"/>
  <c r="G25" i="41"/>
  <c r="D25" i="41" s="1"/>
  <c r="G24" i="41"/>
  <c r="G23" i="41"/>
  <c r="G22" i="41"/>
  <c r="G21" i="41"/>
  <c r="G20" i="41"/>
  <c r="G19" i="41"/>
  <c r="G18" i="41"/>
  <c r="G17" i="41"/>
  <c r="D17" i="41" s="1"/>
  <c r="D75" i="41" s="1"/>
  <c r="G16" i="41"/>
  <c r="G15" i="41"/>
  <c r="G14" i="41"/>
  <c r="G13" i="41"/>
  <c r="G12" i="41"/>
  <c r="G11" i="41"/>
  <c r="G10" i="41"/>
  <c r="G9" i="41"/>
  <c r="J10" i="40"/>
  <c r="J62" i="40"/>
  <c r="J60" i="40"/>
  <c r="J59" i="40"/>
  <c r="J58" i="40"/>
  <c r="J57" i="40"/>
  <c r="J56" i="40"/>
  <c r="J55" i="40"/>
  <c r="J54" i="40"/>
  <c r="J53" i="40"/>
  <c r="J52" i="40"/>
  <c r="J51" i="40"/>
  <c r="J50" i="40"/>
  <c r="J49" i="40"/>
  <c r="J48" i="40"/>
  <c r="J47" i="40"/>
  <c r="J46" i="40"/>
  <c r="J45" i="40"/>
  <c r="J44" i="40"/>
  <c r="J43" i="40"/>
  <c r="J42" i="40"/>
  <c r="J41" i="40"/>
  <c r="J40" i="40"/>
  <c r="J39" i="40"/>
  <c r="J38" i="40"/>
  <c r="J37" i="40"/>
  <c r="J36" i="40"/>
  <c r="J35" i="40"/>
  <c r="J34" i="40"/>
  <c r="J33" i="40"/>
  <c r="J32" i="40"/>
  <c r="J31" i="40"/>
  <c r="J30" i="40"/>
  <c r="J29" i="40"/>
  <c r="J28" i="40"/>
  <c r="J27" i="40"/>
  <c r="J26" i="40"/>
  <c r="J25" i="40"/>
  <c r="J24" i="40"/>
  <c r="J23" i="40"/>
  <c r="J22" i="40"/>
  <c r="J21" i="40"/>
  <c r="J20" i="40"/>
  <c r="J19" i="40"/>
  <c r="J18" i="40"/>
  <c r="J17" i="40"/>
  <c r="J16" i="40"/>
  <c r="J15" i="40"/>
  <c r="J14" i="40"/>
  <c r="J12" i="40"/>
  <c r="J11" i="40"/>
  <c r="J9" i="40"/>
  <c r="F75" i="59"/>
  <c r="I75" i="59"/>
  <c r="F67" i="59"/>
  <c r="I67" i="59"/>
  <c r="F59" i="59"/>
  <c r="I59" i="59"/>
  <c r="F51" i="59"/>
  <c r="I51" i="59"/>
  <c r="I80" i="59"/>
  <c r="I79" i="59"/>
  <c r="F79" i="59"/>
  <c r="I78" i="59"/>
  <c r="F78" i="59"/>
  <c r="I77" i="59"/>
  <c r="I76" i="59"/>
  <c r="I74" i="59"/>
  <c r="F74" i="59"/>
  <c r="I73" i="59"/>
  <c r="I72" i="59"/>
  <c r="I71" i="59"/>
  <c r="F71" i="59"/>
  <c r="I70" i="59"/>
  <c r="F70" i="59"/>
  <c r="I69" i="59"/>
  <c r="I68" i="59"/>
  <c r="I66" i="59"/>
  <c r="F66" i="59"/>
  <c r="I65" i="59"/>
  <c r="I64" i="59"/>
  <c r="I63" i="59"/>
  <c r="F63" i="59"/>
  <c r="I62" i="59"/>
  <c r="F62" i="59"/>
  <c r="I61" i="59"/>
  <c r="I60" i="59"/>
  <c r="I58" i="59"/>
  <c r="F58" i="59"/>
  <c r="I57" i="59"/>
  <c r="I56" i="59"/>
  <c r="I55" i="59"/>
  <c r="F55" i="59"/>
  <c r="I54" i="59"/>
  <c r="F54" i="59"/>
  <c r="I53" i="59"/>
  <c r="I52" i="59"/>
  <c r="I50" i="59"/>
  <c r="F50" i="59"/>
  <c r="I49" i="59"/>
  <c r="I48" i="59"/>
  <c r="F80" i="59"/>
  <c r="F77" i="59"/>
  <c r="F76" i="59"/>
  <c r="F73" i="59"/>
  <c r="F72" i="59"/>
  <c r="F69" i="59"/>
  <c r="F68" i="59"/>
  <c r="F65" i="59"/>
  <c r="F64" i="59"/>
  <c r="F61" i="59"/>
  <c r="F60" i="59"/>
  <c r="F57" i="59"/>
  <c r="F56" i="59"/>
  <c r="F53" i="59"/>
  <c r="F52" i="59"/>
  <c r="F49" i="59"/>
  <c r="F48" i="59"/>
  <c r="H41" i="59"/>
  <c r="G41" i="59"/>
  <c r="E41" i="59"/>
  <c r="D41" i="59"/>
  <c r="F2" i="57"/>
  <c r="H44" i="57" s="1"/>
  <c r="E2" i="58"/>
  <c r="H4" i="58" s="1"/>
  <c r="D2" i="5"/>
  <c r="C51" i="5" s="1"/>
  <c r="D4" i="4"/>
  <c r="B7" i="4" s="1"/>
  <c r="F71" i="2"/>
  <c r="E71" i="2"/>
  <c r="D71" i="2"/>
  <c r="F70" i="2"/>
  <c r="E70" i="2"/>
  <c r="D70" i="2"/>
  <c r="C52" i="2"/>
  <c r="C42" i="2"/>
  <c r="C2" i="2"/>
  <c r="G4" i="2" s="1"/>
  <c r="C37" i="2" s="1"/>
  <c r="B77" i="2" s="1"/>
  <c r="G47" i="3"/>
  <c r="G5" i="3"/>
  <c r="R72" i="5"/>
  <c r="P71" i="5"/>
  <c r="P70" i="5"/>
  <c r="P69" i="5"/>
  <c r="P68" i="5"/>
  <c r="P67" i="5"/>
  <c r="P66" i="5"/>
  <c r="P65" i="5"/>
  <c r="P64" i="5"/>
  <c r="P63" i="5"/>
  <c r="P62" i="5"/>
  <c r="P61" i="5"/>
  <c r="P60" i="5"/>
  <c r="P59" i="5"/>
  <c r="P58" i="5"/>
  <c r="P57" i="5"/>
  <c r="P56" i="5"/>
  <c r="L72" i="5"/>
  <c r="L71" i="5"/>
  <c r="L70" i="5"/>
  <c r="L69" i="5"/>
  <c r="L68" i="5"/>
  <c r="L67" i="5"/>
  <c r="L66" i="5"/>
  <c r="L65" i="5"/>
  <c r="L64" i="5"/>
  <c r="L63" i="5"/>
  <c r="L62" i="5"/>
  <c r="L61" i="5"/>
  <c r="L60" i="5"/>
  <c r="L59" i="5"/>
  <c r="L58" i="5"/>
  <c r="L57" i="5"/>
  <c r="L56" i="5"/>
  <c r="C54" i="4"/>
  <c r="H65" i="42"/>
  <c r="I70" i="48"/>
  <c r="I67" i="42" s="1"/>
  <c r="H70" i="48"/>
  <c r="H67" i="42" s="1"/>
  <c r="F70" i="48"/>
  <c r="F67" i="42" s="1"/>
  <c r="E70" i="48"/>
  <c r="E67" i="42" s="1"/>
  <c r="Q7" i="48"/>
  <c r="R9" i="48"/>
  <c r="R40" i="59"/>
  <c r="O40" i="59"/>
  <c r="R39" i="59"/>
  <c r="O39" i="59"/>
  <c r="R38" i="59"/>
  <c r="O38" i="59"/>
  <c r="R37" i="59"/>
  <c r="O37" i="59"/>
  <c r="R36" i="59"/>
  <c r="O36" i="59"/>
  <c r="R35" i="59"/>
  <c r="O35" i="59"/>
  <c r="R34" i="59"/>
  <c r="O34" i="59"/>
  <c r="R33" i="59"/>
  <c r="O33" i="59"/>
  <c r="R32" i="59"/>
  <c r="O32" i="59"/>
  <c r="R31" i="59"/>
  <c r="O31" i="59"/>
  <c r="R30" i="59"/>
  <c r="O30" i="59"/>
  <c r="R29" i="59"/>
  <c r="O29" i="59"/>
  <c r="R28" i="59"/>
  <c r="O28" i="59"/>
  <c r="R27" i="59"/>
  <c r="O27" i="59"/>
  <c r="R26" i="59"/>
  <c r="O26" i="59"/>
  <c r="R25" i="59"/>
  <c r="O25" i="59"/>
  <c r="R24" i="59"/>
  <c r="O24" i="59"/>
  <c r="R23" i="59"/>
  <c r="O23" i="59"/>
  <c r="R22" i="59"/>
  <c r="O22" i="59"/>
  <c r="R21" i="59"/>
  <c r="O21" i="59"/>
  <c r="R20" i="59"/>
  <c r="O20" i="59"/>
  <c r="R19" i="59"/>
  <c r="O19" i="59"/>
  <c r="R18" i="59"/>
  <c r="O18" i="59"/>
  <c r="R17" i="59"/>
  <c r="O17" i="59"/>
  <c r="R16" i="59"/>
  <c r="O16" i="59"/>
  <c r="R15" i="59"/>
  <c r="O15" i="59"/>
  <c r="R14" i="59"/>
  <c r="O14" i="59"/>
  <c r="R13" i="59"/>
  <c r="O13" i="59"/>
  <c r="R12" i="59"/>
  <c r="O12" i="59"/>
  <c r="R11" i="59"/>
  <c r="O11" i="59"/>
  <c r="R10" i="59"/>
  <c r="O10" i="59"/>
  <c r="R9" i="59"/>
  <c r="O9" i="59"/>
  <c r="R8" i="59"/>
  <c r="R7" i="59" s="1"/>
  <c r="O8" i="59"/>
  <c r="L7" i="59"/>
  <c r="P51" i="58"/>
  <c r="P50" i="58"/>
  <c r="P49" i="58"/>
  <c r="P48" i="58"/>
  <c r="R8" i="58"/>
  <c r="U4" i="58"/>
  <c r="U3" i="58" s="1"/>
  <c r="D86" i="4"/>
  <c r="C86" i="4"/>
  <c r="F85" i="4"/>
  <c r="E85" i="4"/>
  <c r="D85" i="4"/>
  <c r="C85" i="4"/>
  <c r="D84" i="4"/>
  <c r="C84" i="4"/>
  <c r="D83" i="4"/>
  <c r="C83" i="4"/>
  <c r="D82" i="4"/>
  <c r="C82" i="4"/>
  <c r="D81" i="4"/>
  <c r="C81" i="4"/>
  <c r="D80" i="4"/>
  <c r="C80" i="4"/>
  <c r="F79" i="4"/>
  <c r="E79" i="4"/>
  <c r="D79" i="4"/>
  <c r="C79" i="4"/>
  <c r="D78" i="4"/>
  <c r="C78" i="4"/>
  <c r="F77" i="4"/>
  <c r="E77" i="4"/>
  <c r="D77" i="4"/>
  <c r="C77" i="4"/>
  <c r="F76" i="4"/>
  <c r="E76" i="4"/>
  <c r="D76" i="4"/>
  <c r="C76" i="4"/>
  <c r="F75" i="4"/>
  <c r="E75" i="4"/>
  <c r="D75" i="4"/>
  <c r="C75" i="4"/>
  <c r="F74" i="4"/>
  <c r="E74" i="4"/>
  <c r="D74" i="4"/>
  <c r="C74" i="4"/>
  <c r="D73" i="4"/>
  <c r="C73" i="4"/>
  <c r="D72" i="4"/>
  <c r="C72" i="4"/>
  <c r="F71" i="4"/>
  <c r="E71" i="4"/>
  <c r="D71" i="4"/>
  <c r="C71" i="4"/>
  <c r="D70" i="4"/>
  <c r="C70" i="4"/>
  <c r="D69" i="4"/>
  <c r="C69" i="4"/>
  <c r="D68" i="4"/>
  <c r="C68" i="4"/>
  <c r="F67" i="4"/>
  <c r="E67" i="4"/>
  <c r="D67" i="4"/>
  <c r="C67" i="4"/>
  <c r="D66" i="4"/>
  <c r="C66" i="4"/>
  <c r="F65" i="4"/>
  <c r="E65" i="4"/>
  <c r="D65" i="4"/>
  <c r="C65" i="4"/>
  <c r="D64" i="4"/>
  <c r="C64" i="4"/>
  <c r="E63" i="4"/>
  <c r="D63" i="4"/>
  <c r="C63" i="4"/>
  <c r="F62" i="4"/>
  <c r="E62" i="4"/>
  <c r="D62" i="4"/>
  <c r="C62" i="4"/>
  <c r="D61" i="4"/>
  <c r="C61" i="4"/>
  <c r="D60" i="4"/>
  <c r="C60" i="4"/>
  <c r="D59" i="4"/>
  <c r="C59" i="4"/>
  <c r="F58" i="4"/>
  <c r="E58" i="4"/>
  <c r="D58" i="4"/>
  <c r="C58" i="4"/>
  <c r="D57" i="4"/>
  <c r="C57" i="4"/>
  <c r="F56" i="4"/>
  <c r="E56" i="4"/>
  <c r="D56" i="4"/>
  <c r="C56" i="4"/>
  <c r="D55" i="4"/>
  <c r="C55" i="4"/>
  <c r="D54" i="4"/>
  <c r="C98" i="2"/>
  <c r="C101" i="2"/>
  <c r="B94" i="2"/>
  <c r="B93" i="4"/>
  <c r="B46" i="51" s="1"/>
  <c r="B79" i="5" s="1"/>
  <c r="B85" i="58" s="1"/>
  <c r="B86" i="57" s="1"/>
  <c r="B85" i="59" s="1"/>
  <c r="C61" i="49" s="1"/>
  <c r="K42" i="3"/>
  <c r="R8" i="48"/>
  <c r="S81" i="63" l="1"/>
  <c r="S83" i="63" s="1"/>
  <c r="S82" i="63"/>
  <c r="B81" i="45"/>
  <c r="B84" i="44" s="1"/>
  <c r="H56" i="50" s="1"/>
  <c r="B69" i="60" s="1"/>
  <c r="C65" i="40" s="1"/>
  <c r="C64" i="41" s="1"/>
  <c r="C66" i="48" s="1"/>
  <c r="C64" i="42" s="1"/>
  <c r="C97" i="63" s="1"/>
  <c r="D43" i="48"/>
  <c r="D20" i="48"/>
  <c r="D34" i="48"/>
  <c r="D19" i="48"/>
  <c r="D35" i="48"/>
  <c r="D44" i="48"/>
  <c r="D62" i="48"/>
  <c r="D18" i="48"/>
  <c r="D22" i="48"/>
  <c r="D36" i="48"/>
  <c r="D50" i="48"/>
  <c r="D37" i="48"/>
  <c r="D51" i="48"/>
  <c r="D38" i="48"/>
  <c r="D52" i="48"/>
  <c r="D46" i="48"/>
  <c r="D30" i="48"/>
  <c r="C53" i="59"/>
  <c r="C72" i="59"/>
  <c r="C60" i="59"/>
  <c r="E54" i="2"/>
  <c r="F67" i="2"/>
  <c r="D12" i="48"/>
  <c r="D13" i="48"/>
  <c r="D29" i="48"/>
  <c r="D45" i="48"/>
  <c r="D33" i="48"/>
  <c r="D25" i="48"/>
  <c r="D41" i="48"/>
  <c r="J44" i="58"/>
  <c r="D49" i="48"/>
  <c r="D57" i="48"/>
  <c r="D21" i="48"/>
  <c r="D53" i="48"/>
  <c r="J61" i="41"/>
  <c r="G61" i="41"/>
  <c r="C73" i="59"/>
  <c r="K36" i="58"/>
  <c r="K28" i="58"/>
  <c r="K20" i="58"/>
  <c r="K12" i="58"/>
  <c r="K17" i="58"/>
  <c r="K32" i="58"/>
  <c r="K39" i="58"/>
  <c r="K23" i="58"/>
  <c r="K38" i="58"/>
  <c r="K37" i="58"/>
  <c r="K35" i="58"/>
  <c r="K27" i="58"/>
  <c r="K19" i="58"/>
  <c r="K11" i="58"/>
  <c r="K25" i="58"/>
  <c r="K16" i="58"/>
  <c r="K22" i="58"/>
  <c r="K21" i="58"/>
  <c r="K34" i="58"/>
  <c r="K26" i="58"/>
  <c r="K18" i="58"/>
  <c r="K10" i="58"/>
  <c r="K33" i="58"/>
  <c r="K40" i="58"/>
  <c r="K8" i="58"/>
  <c r="K30" i="58"/>
  <c r="K29" i="58"/>
  <c r="K9" i="58"/>
  <c r="K24" i="58"/>
  <c r="K31" i="58"/>
  <c r="K15" i="58"/>
  <c r="K14" i="58"/>
  <c r="K13" i="58"/>
  <c r="B26" i="3"/>
  <c r="I25" i="57" s="1"/>
  <c r="B29" i="3"/>
  <c r="I28" i="57" s="1"/>
  <c r="L35" i="58"/>
  <c r="L27" i="58"/>
  <c r="L19" i="58"/>
  <c r="L11" i="58"/>
  <c r="L30" i="58"/>
  <c r="L37" i="58"/>
  <c r="L34" i="58"/>
  <c r="L26" i="58"/>
  <c r="L18" i="58"/>
  <c r="L10" i="58"/>
  <c r="L31" i="58"/>
  <c r="L15" i="58"/>
  <c r="L14" i="58"/>
  <c r="L20" i="58"/>
  <c r="L33" i="58"/>
  <c r="L25" i="58"/>
  <c r="L17" i="58"/>
  <c r="L9" i="58"/>
  <c r="L39" i="58"/>
  <c r="L38" i="58"/>
  <c r="L29" i="58"/>
  <c r="L13" i="58"/>
  <c r="L28" i="58"/>
  <c r="L40" i="58"/>
  <c r="L32" i="58"/>
  <c r="L24" i="58"/>
  <c r="L16" i="58"/>
  <c r="L8" i="58"/>
  <c r="L23" i="58"/>
  <c r="L22" i="58"/>
  <c r="L21" i="58"/>
  <c r="L36" i="58"/>
  <c r="L12" i="58"/>
  <c r="B22" i="3"/>
  <c r="I21" i="57" s="1"/>
  <c r="B40" i="3"/>
  <c r="I39" i="57" s="1"/>
  <c r="B34" i="3"/>
  <c r="B13" i="3"/>
  <c r="I12" i="57" s="1"/>
  <c r="B32" i="3"/>
  <c r="I31" i="57" s="1"/>
  <c r="B20" i="3"/>
  <c r="I19" i="57" s="1"/>
  <c r="B31" i="3"/>
  <c r="I30" i="57" s="1"/>
  <c r="B30" i="3"/>
  <c r="I29" i="57" s="1"/>
  <c r="E16" i="57"/>
  <c r="G16" i="57"/>
  <c r="D16" i="57"/>
  <c r="C16" i="57"/>
  <c r="H16" i="57"/>
  <c r="F16" i="57"/>
  <c r="E36" i="58"/>
  <c r="E28" i="58"/>
  <c r="E20" i="58"/>
  <c r="E12" i="58"/>
  <c r="E18" i="58"/>
  <c r="E14" i="58"/>
  <c r="E37" i="58"/>
  <c r="E35" i="58"/>
  <c r="E27" i="58"/>
  <c r="E19" i="58"/>
  <c r="E11" i="58"/>
  <c r="E34" i="58"/>
  <c r="E10" i="58"/>
  <c r="E38" i="58"/>
  <c r="E21" i="58"/>
  <c r="E26" i="58"/>
  <c r="E33" i="58"/>
  <c r="E25" i="58"/>
  <c r="E17" i="58"/>
  <c r="E9" i="58"/>
  <c r="E40" i="58"/>
  <c r="E32" i="58"/>
  <c r="E24" i="58"/>
  <c r="E16" i="58"/>
  <c r="E8" i="58"/>
  <c r="E30" i="58"/>
  <c r="E22" i="58"/>
  <c r="E13" i="58"/>
  <c r="E39" i="58"/>
  <c r="E31" i="58"/>
  <c r="E23" i="58"/>
  <c r="E15" i="58"/>
  <c r="E29" i="58"/>
  <c r="G12" i="58"/>
  <c r="G35" i="58"/>
  <c r="G27" i="58"/>
  <c r="G19" i="58"/>
  <c r="G11" i="58"/>
  <c r="G25" i="58"/>
  <c r="G9" i="58"/>
  <c r="G34" i="58"/>
  <c r="G26" i="58"/>
  <c r="G18" i="58"/>
  <c r="G10" i="58"/>
  <c r="G36" i="58"/>
  <c r="G33" i="58"/>
  <c r="G17" i="58"/>
  <c r="G29" i="58"/>
  <c r="G28" i="58"/>
  <c r="G40" i="58"/>
  <c r="G32" i="58"/>
  <c r="G24" i="58"/>
  <c r="G16" i="58"/>
  <c r="G8" i="58"/>
  <c r="G39" i="58"/>
  <c r="G31" i="58"/>
  <c r="G23" i="58"/>
  <c r="G15" i="58"/>
  <c r="G37" i="58"/>
  <c r="G21" i="58"/>
  <c r="G13" i="58"/>
  <c r="G20" i="58"/>
  <c r="G38" i="58"/>
  <c r="G30" i="58"/>
  <c r="G22" i="58"/>
  <c r="G14" i="58"/>
  <c r="C85" i="2"/>
  <c r="C88" i="2"/>
  <c r="D85" i="2"/>
  <c r="D88" i="2"/>
  <c r="E88" i="2"/>
  <c r="E87" i="2"/>
  <c r="E85" i="2"/>
  <c r="K63" i="63"/>
  <c r="D17" i="48"/>
  <c r="D10" i="48"/>
  <c r="C66" i="2"/>
  <c r="C59" i="2"/>
  <c r="C51" i="2"/>
  <c r="E67" i="2"/>
  <c r="J29" i="5"/>
  <c r="J17" i="5"/>
  <c r="J40" i="5"/>
  <c r="J36" i="5"/>
  <c r="J32" i="5"/>
  <c r="J28" i="5"/>
  <c r="J20" i="5"/>
  <c r="J12" i="5"/>
  <c r="K74" i="58"/>
  <c r="K66" i="58"/>
  <c r="K58" i="58"/>
  <c r="K50" i="58"/>
  <c r="K79" i="58"/>
  <c r="K71" i="58"/>
  <c r="K63" i="58"/>
  <c r="K55" i="58"/>
  <c r="K77" i="58"/>
  <c r="K69" i="58"/>
  <c r="K61" i="58"/>
  <c r="K53" i="58"/>
  <c r="K76" i="58"/>
  <c r="K68" i="58"/>
  <c r="K60" i="58"/>
  <c r="K52" i="58"/>
  <c r="K78" i="58"/>
  <c r="K70" i="58"/>
  <c r="K62" i="58"/>
  <c r="E43" i="4"/>
  <c r="K73" i="58"/>
  <c r="K65" i="58"/>
  <c r="K57" i="58"/>
  <c r="K49" i="58"/>
  <c r="H43" i="5"/>
  <c r="K54" i="58"/>
  <c r="K75" i="58"/>
  <c r="K67" i="58"/>
  <c r="K59" i="58"/>
  <c r="K51" i="58"/>
  <c r="K80" i="58"/>
  <c r="K72" i="58"/>
  <c r="K64" i="58"/>
  <c r="K56" i="58"/>
  <c r="K48" i="58"/>
  <c r="J39" i="5"/>
  <c r="J35" i="5"/>
  <c r="J31" i="5"/>
  <c r="J27" i="5"/>
  <c r="J23" i="5"/>
  <c r="J19" i="5"/>
  <c r="J15" i="5"/>
  <c r="J11" i="5"/>
  <c r="J41" i="5"/>
  <c r="J37" i="5"/>
  <c r="J25" i="5"/>
  <c r="J21" i="5"/>
  <c r="J13" i="5"/>
  <c r="J24" i="5"/>
  <c r="L79" i="58"/>
  <c r="L71" i="58"/>
  <c r="L63" i="58"/>
  <c r="L55" i="58"/>
  <c r="L74" i="58"/>
  <c r="L76" i="58"/>
  <c r="L68" i="58"/>
  <c r="L60" i="58"/>
  <c r="L52" i="58"/>
  <c r="L66" i="58"/>
  <c r="L58" i="58"/>
  <c r="L50" i="58"/>
  <c r="L73" i="58"/>
  <c r="L65" i="58"/>
  <c r="L57" i="58"/>
  <c r="L49" i="58"/>
  <c r="I43" i="5"/>
  <c r="L75" i="58"/>
  <c r="L67" i="58"/>
  <c r="L59" i="58"/>
  <c r="L51" i="58"/>
  <c r="L78" i="58"/>
  <c r="L70" i="58"/>
  <c r="L62" i="58"/>
  <c r="L54" i="58"/>
  <c r="F43" i="4"/>
  <c r="L80" i="58"/>
  <c r="L72" i="58"/>
  <c r="L64" i="58"/>
  <c r="L56" i="58"/>
  <c r="L48" i="58"/>
  <c r="L77" i="58"/>
  <c r="L69" i="58"/>
  <c r="L61" i="58"/>
  <c r="L53" i="58"/>
  <c r="J42" i="5"/>
  <c r="J38" i="5"/>
  <c r="J34" i="5"/>
  <c r="J30" i="5"/>
  <c r="J26" i="5"/>
  <c r="J22" i="5"/>
  <c r="J18" i="5"/>
  <c r="J14" i="5"/>
  <c r="J10" i="5"/>
  <c r="J33" i="5"/>
  <c r="J16" i="5"/>
  <c r="G36" i="5"/>
  <c r="G73" i="58"/>
  <c r="G65" i="58"/>
  <c r="G57" i="58"/>
  <c r="G49" i="58"/>
  <c r="F43" i="5"/>
  <c r="D43" i="4"/>
  <c r="G79" i="58"/>
  <c r="G74" i="58"/>
  <c r="G66" i="58"/>
  <c r="G58" i="58"/>
  <c r="G50" i="58"/>
  <c r="G71" i="58"/>
  <c r="G63" i="58"/>
  <c r="G55" i="58"/>
  <c r="G75" i="58"/>
  <c r="G67" i="58"/>
  <c r="G59" i="58"/>
  <c r="G51" i="58"/>
  <c r="G76" i="58"/>
  <c r="G68" i="58"/>
  <c r="G60" i="58"/>
  <c r="G52" i="58"/>
  <c r="G77" i="58"/>
  <c r="G69" i="58"/>
  <c r="G61" i="58"/>
  <c r="G53" i="58"/>
  <c r="G78" i="58"/>
  <c r="G70" i="58"/>
  <c r="G62" i="58"/>
  <c r="G54" i="58"/>
  <c r="G80" i="58"/>
  <c r="G64" i="58"/>
  <c r="G72" i="58"/>
  <c r="G48" i="58"/>
  <c r="G56" i="58"/>
  <c r="G17" i="5"/>
  <c r="E80" i="58"/>
  <c r="E72" i="58"/>
  <c r="E64" i="58"/>
  <c r="E56" i="58"/>
  <c r="E48" i="58"/>
  <c r="E73" i="58"/>
  <c r="E65" i="58"/>
  <c r="E57" i="58"/>
  <c r="E49" i="58"/>
  <c r="E43" i="5"/>
  <c r="C43" i="4"/>
  <c r="E74" i="58"/>
  <c r="E66" i="58"/>
  <c r="E58" i="58"/>
  <c r="E50" i="58"/>
  <c r="E78" i="58"/>
  <c r="E62" i="58"/>
  <c r="E75" i="58"/>
  <c r="E67" i="58"/>
  <c r="E59" i="58"/>
  <c r="E51" i="58"/>
  <c r="E70" i="58"/>
  <c r="E54" i="58"/>
  <c r="E76" i="58"/>
  <c r="E68" i="58"/>
  <c r="E60" i="58"/>
  <c r="E52" i="58"/>
  <c r="E77" i="58"/>
  <c r="E69" i="58"/>
  <c r="E61" i="58"/>
  <c r="E53" i="58"/>
  <c r="E71" i="58"/>
  <c r="E79" i="58"/>
  <c r="E55" i="58"/>
  <c r="E63" i="58"/>
  <c r="G32" i="5"/>
  <c r="G24" i="5"/>
  <c r="G12" i="5"/>
  <c r="C87" i="4"/>
  <c r="G37" i="5"/>
  <c r="G21" i="5"/>
  <c r="G40" i="5"/>
  <c r="G16" i="5"/>
  <c r="G39" i="5"/>
  <c r="G35" i="5"/>
  <c r="G31" i="5"/>
  <c r="G27" i="5"/>
  <c r="G23" i="5"/>
  <c r="G19" i="5"/>
  <c r="G15" i="5"/>
  <c r="G11" i="5"/>
  <c r="G25" i="5"/>
  <c r="G28" i="5"/>
  <c r="G41" i="5"/>
  <c r="G33" i="5"/>
  <c r="G29" i="5"/>
  <c r="G13" i="5"/>
  <c r="B77" i="3"/>
  <c r="G80" i="4" s="1"/>
  <c r="G20" i="5"/>
  <c r="G42" i="5"/>
  <c r="G38" i="5"/>
  <c r="G34" i="5"/>
  <c r="G30" i="5"/>
  <c r="G26" i="5"/>
  <c r="G22" i="5"/>
  <c r="G18" i="5"/>
  <c r="G14" i="5"/>
  <c r="G10" i="5"/>
  <c r="O11" i="5"/>
  <c r="O57" i="5" s="1"/>
  <c r="O37" i="5"/>
  <c r="S66" i="5" s="1"/>
  <c r="C61" i="59"/>
  <c r="D67" i="2"/>
  <c r="H4" i="59"/>
  <c r="D49" i="42"/>
  <c r="D15" i="48"/>
  <c r="D23" i="48"/>
  <c r="D31" i="48"/>
  <c r="D39" i="48"/>
  <c r="D47" i="48"/>
  <c r="D55" i="48"/>
  <c r="D53" i="41"/>
  <c r="D111" i="41" s="1"/>
  <c r="F111" i="41" s="1"/>
  <c r="D51" i="41"/>
  <c r="D109" i="41" s="1"/>
  <c r="C50" i="59"/>
  <c r="C23" i="59"/>
  <c r="C20" i="59"/>
  <c r="C39" i="59"/>
  <c r="C35" i="59"/>
  <c r="C57" i="2"/>
  <c r="B80" i="3"/>
  <c r="F77" i="57" s="1"/>
  <c r="B68" i="3"/>
  <c r="F65" i="57" s="1"/>
  <c r="D33" i="42"/>
  <c r="D57" i="42"/>
  <c r="D11" i="42"/>
  <c r="D35" i="42"/>
  <c r="D43" i="42"/>
  <c r="D16" i="48"/>
  <c r="D24" i="48"/>
  <c r="D32" i="48"/>
  <c r="D40" i="48"/>
  <c r="D48" i="48"/>
  <c r="D56" i="48"/>
  <c r="D60" i="48"/>
  <c r="D27" i="41"/>
  <c r="D85" i="41" s="1"/>
  <c r="F85" i="41" s="1"/>
  <c r="D39" i="41"/>
  <c r="D97" i="41" s="1"/>
  <c r="D23" i="41"/>
  <c r="D81" i="41" s="1"/>
  <c r="D50" i="41"/>
  <c r="D108" i="41" s="1"/>
  <c r="D20" i="41"/>
  <c r="D78" i="41" s="1"/>
  <c r="I78" i="41" s="1"/>
  <c r="D24" i="41"/>
  <c r="D82" i="41" s="1"/>
  <c r="G82" i="41" s="1"/>
  <c r="D28" i="41"/>
  <c r="D86" i="41" s="1"/>
  <c r="D32" i="41"/>
  <c r="D90" i="41" s="1"/>
  <c r="D35" i="41"/>
  <c r="D93" i="41" s="1"/>
  <c r="D56" i="41"/>
  <c r="D114" i="41" s="1"/>
  <c r="C66" i="59"/>
  <c r="C67" i="59"/>
  <c r="C57" i="59"/>
  <c r="C64" i="59"/>
  <c r="C54" i="59"/>
  <c r="C68" i="59"/>
  <c r="C15" i="59"/>
  <c r="C32" i="59"/>
  <c r="C28" i="59"/>
  <c r="I41" i="59"/>
  <c r="C40" i="59"/>
  <c r="O41" i="5"/>
  <c r="S70" i="5" s="1"/>
  <c r="O29" i="5"/>
  <c r="S58" i="5" s="1"/>
  <c r="O25" i="5"/>
  <c r="O71" i="5" s="1"/>
  <c r="O21" i="5"/>
  <c r="O67" i="5" s="1"/>
  <c r="O13" i="5"/>
  <c r="O59" i="5" s="1"/>
  <c r="E72" i="2"/>
  <c r="E51" i="4"/>
  <c r="I5" i="5"/>
  <c r="C53" i="2"/>
  <c r="C61" i="2"/>
  <c r="B67" i="3"/>
  <c r="F64" i="57" s="1"/>
  <c r="B51" i="3"/>
  <c r="F48" i="57" s="1"/>
  <c r="B52" i="3"/>
  <c r="F49" i="57" s="1"/>
  <c r="B73" i="3"/>
  <c r="F70" i="57" s="1"/>
  <c r="B53" i="3"/>
  <c r="F50" i="57" s="1"/>
  <c r="D106" i="41"/>
  <c r="I106" i="41" s="1"/>
  <c r="D49" i="41"/>
  <c r="D107" i="41" s="1"/>
  <c r="C60" i="2"/>
  <c r="D72" i="2"/>
  <c r="O33" i="5"/>
  <c r="S62" i="5" s="1"/>
  <c r="D18" i="41"/>
  <c r="D76" i="41" s="1"/>
  <c r="F87" i="4"/>
  <c r="B79" i="3"/>
  <c r="C27" i="59"/>
  <c r="C19" i="59"/>
  <c r="C62" i="59"/>
  <c r="D19" i="41"/>
  <c r="D77" i="41" s="1"/>
  <c r="B78" i="3"/>
  <c r="G81" i="4" s="1"/>
  <c r="C11" i="59"/>
  <c r="C49" i="59"/>
  <c r="C77" i="59"/>
  <c r="C56" i="59"/>
  <c r="D118" i="41"/>
  <c r="I118" i="41" s="1"/>
  <c r="D26" i="41"/>
  <c r="D84" i="41" s="1"/>
  <c r="B66" i="3"/>
  <c r="G69" i="4" s="1"/>
  <c r="O17" i="5"/>
  <c r="O63" i="5" s="1"/>
  <c r="C70" i="59"/>
  <c r="D28" i="42"/>
  <c r="D60" i="42"/>
  <c r="B65" i="3"/>
  <c r="G68" i="4" s="1"/>
  <c r="F62" i="2"/>
  <c r="O42" i="5"/>
  <c r="S71" i="5" s="1"/>
  <c r="C59" i="59"/>
  <c r="D34" i="41"/>
  <c r="D92" i="41" s="1"/>
  <c r="H92" i="41" s="1"/>
  <c r="C9" i="59"/>
  <c r="C70" i="2"/>
  <c r="C78" i="59"/>
  <c r="D41" i="41"/>
  <c r="D99" i="41" s="1"/>
  <c r="C24" i="59"/>
  <c r="O14" i="5"/>
  <c r="O60" i="5" s="1"/>
  <c r="D51" i="40"/>
  <c r="D53" i="40"/>
  <c r="D59" i="40"/>
  <c r="D62" i="40"/>
  <c r="D18" i="40"/>
  <c r="D26" i="40"/>
  <c r="D85" i="40" s="1"/>
  <c r="G85" i="40" s="1"/>
  <c r="D32" i="40"/>
  <c r="D91" i="40" s="1"/>
  <c r="I91" i="40" s="1"/>
  <c r="D50" i="40"/>
  <c r="D109" i="40" s="1"/>
  <c r="J109" i="40" s="1"/>
  <c r="D40" i="40"/>
  <c r="D19" i="40"/>
  <c r="D78" i="40" s="1"/>
  <c r="D21" i="40"/>
  <c r="D80" i="40" s="1"/>
  <c r="D27" i="40"/>
  <c r="D86" i="40" s="1"/>
  <c r="D29" i="40"/>
  <c r="D56" i="40"/>
  <c r="D58" i="40"/>
  <c r="D9" i="40"/>
  <c r="D24" i="40"/>
  <c r="D83" i="40" s="1"/>
  <c r="D34" i="40"/>
  <c r="D17" i="42"/>
  <c r="D21" i="42"/>
  <c r="D25" i="42"/>
  <c r="D41" i="42"/>
  <c r="D45" i="42"/>
  <c r="D10" i="42"/>
  <c r="D14" i="42"/>
  <c r="D30" i="42"/>
  <c r="D34" i="42"/>
  <c r="D38" i="42"/>
  <c r="D54" i="42"/>
  <c r="D58" i="42"/>
  <c r="D20" i="42"/>
  <c r="D24" i="42"/>
  <c r="D40" i="42"/>
  <c r="D44" i="42"/>
  <c r="D37" i="42"/>
  <c r="D13" i="42"/>
  <c r="D29" i="42"/>
  <c r="D53" i="42"/>
  <c r="G70" i="48"/>
  <c r="G67" i="42" s="1"/>
  <c r="D22" i="42"/>
  <c r="D26" i="42"/>
  <c r="D42" i="42"/>
  <c r="D46" i="42"/>
  <c r="D9" i="42"/>
  <c r="D19" i="42"/>
  <c r="D27" i="42"/>
  <c r="D39" i="42"/>
  <c r="D47" i="42"/>
  <c r="D51" i="42"/>
  <c r="D59" i="42"/>
  <c r="D12" i="42"/>
  <c r="D32" i="42"/>
  <c r="D36" i="42"/>
  <c r="D52" i="42"/>
  <c r="D56" i="42"/>
  <c r="J70" i="48"/>
  <c r="J67" i="42" s="1"/>
  <c r="D52" i="41"/>
  <c r="D110" i="41" s="1"/>
  <c r="D21" i="41"/>
  <c r="D79" i="41" s="1"/>
  <c r="D22" i="41"/>
  <c r="D30" i="41"/>
  <c r="D31" i="41"/>
  <c r="D89" i="41" s="1"/>
  <c r="D37" i="41"/>
  <c r="D95" i="41" s="1"/>
  <c r="D38" i="41"/>
  <c r="D96" i="41" s="1"/>
  <c r="D44" i="41"/>
  <c r="D45" i="41"/>
  <c r="D103" i="41" s="1"/>
  <c r="D46" i="41"/>
  <c r="D104" i="41" s="1"/>
  <c r="D47" i="41"/>
  <c r="D105" i="41" s="1"/>
  <c r="D54" i="41"/>
  <c r="D112" i="41" s="1"/>
  <c r="D55" i="41"/>
  <c r="D113" i="41" s="1"/>
  <c r="D9" i="41"/>
  <c r="D67" i="41" s="1"/>
  <c r="D10" i="41"/>
  <c r="D68" i="41" s="1"/>
  <c r="D11" i="41"/>
  <c r="D12" i="41"/>
  <c r="D70" i="41" s="1"/>
  <c r="D13" i="41"/>
  <c r="D71" i="41" s="1"/>
  <c r="D14" i="41"/>
  <c r="D15" i="41"/>
  <c r="D16" i="41"/>
  <c r="D74" i="41" s="1"/>
  <c r="H74" i="41" s="1"/>
  <c r="D57" i="41"/>
  <c r="D115" i="41" s="1"/>
  <c r="G115" i="41" s="1"/>
  <c r="D58" i="41"/>
  <c r="D116" i="41" s="1"/>
  <c r="G116" i="41" s="1"/>
  <c r="D59" i="41"/>
  <c r="D117" i="41" s="1"/>
  <c r="I94" i="41"/>
  <c r="F94" i="41"/>
  <c r="G94" i="41"/>
  <c r="I101" i="41"/>
  <c r="F101" i="41"/>
  <c r="H101" i="41"/>
  <c r="G101" i="41"/>
  <c r="D37" i="40"/>
  <c r="D96" i="40" s="1"/>
  <c r="D11" i="40"/>
  <c r="D70" i="40" s="1"/>
  <c r="D13" i="40"/>
  <c r="D72" i="40" s="1"/>
  <c r="D16" i="40"/>
  <c r="D42" i="40"/>
  <c r="D43" i="40"/>
  <c r="D45" i="40"/>
  <c r="D48" i="40"/>
  <c r="D107" i="40" s="1"/>
  <c r="D35" i="40"/>
  <c r="D61" i="40"/>
  <c r="D120" i="40" s="1"/>
  <c r="G120" i="40" s="1"/>
  <c r="D20" i="40"/>
  <c r="D22" i="40"/>
  <c r="D36" i="40"/>
  <c r="D95" i="40" s="1"/>
  <c r="G95" i="40" s="1"/>
  <c r="D38" i="40"/>
  <c r="D52" i="40"/>
  <c r="D111" i="40" s="1"/>
  <c r="D54" i="40"/>
  <c r="D12" i="40"/>
  <c r="D14" i="40"/>
  <c r="D28" i="40"/>
  <c r="D30" i="40"/>
  <c r="D44" i="40"/>
  <c r="D46" i="40"/>
  <c r="D60" i="40"/>
  <c r="D119" i="40" s="1"/>
  <c r="I119" i="40" s="1"/>
  <c r="C65" i="59"/>
  <c r="C75" i="59"/>
  <c r="C79" i="59"/>
  <c r="C48" i="59"/>
  <c r="C52" i="59"/>
  <c r="C63" i="59"/>
  <c r="C76" i="59"/>
  <c r="C55" i="59"/>
  <c r="C58" i="59"/>
  <c r="C80" i="59"/>
  <c r="C37" i="59"/>
  <c r="C16" i="59"/>
  <c r="C31" i="59"/>
  <c r="C8" i="59"/>
  <c r="C36" i="59"/>
  <c r="O40" i="5"/>
  <c r="S69" i="5" s="1"/>
  <c r="O36" i="5"/>
  <c r="O32" i="5"/>
  <c r="S61" i="5" s="1"/>
  <c r="O28" i="5"/>
  <c r="O24" i="5"/>
  <c r="O20" i="5"/>
  <c r="O66" i="5" s="1"/>
  <c r="O16" i="5"/>
  <c r="O12" i="5"/>
  <c r="O39" i="5"/>
  <c r="O35" i="5"/>
  <c r="S64" i="5" s="1"/>
  <c r="O31" i="5"/>
  <c r="O27" i="5"/>
  <c r="O23" i="5"/>
  <c r="O69" i="5" s="1"/>
  <c r="O19" i="5"/>
  <c r="O65" i="5" s="1"/>
  <c r="O15" i="5"/>
  <c r="O61" i="5" s="1"/>
  <c r="O38" i="5"/>
  <c r="S67" i="5" s="1"/>
  <c r="O34" i="5"/>
  <c r="O30" i="5"/>
  <c r="O26" i="5"/>
  <c r="O72" i="5" s="1"/>
  <c r="O22" i="5"/>
  <c r="O18" i="5"/>
  <c r="O64" i="5" s="1"/>
  <c r="O10" i="5"/>
  <c r="D54" i="2"/>
  <c r="C71" i="2"/>
  <c r="F72" i="2"/>
  <c r="C65" i="2"/>
  <c r="F54" i="2"/>
  <c r="E87" i="4"/>
  <c r="F80" i="57"/>
  <c r="B81" i="3"/>
  <c r="F78" i="57" s="1"/>
  <c r="B74" i="3"/>
  <c r="F71" i="57" s="1"/>
  <c r="B72" i="3"/>
  <c r="B70" i="3"/>
  <c r="B63" i="3"/>
  <c r="B61" i="3"/>
  <c r="F58" i="57" s="1"/>
  <c r="B57" i="3"/>
  <c r="B82" i="3"/>
  <c r="B75" i="3"/>
  <c r="B71" i="3"/>
  <c r="B69" i="3"/>
  <c r="B64" i="3"/>
  <c r="F61" i="57" s="1"/>
  <c r="B62" i="3"/>
  <c r="F59" i="57" s="1"/>
  <c r="B60" i="3"/>
  <c r="B58" i="3"/>
  <c r="F55" i="57" s="1"/>
  <c r="B56" i="3"/>
  <c r="B54" i="3"/>
  <c r="E84" i="3"/>
  <c r="I70" i="58" s="1"/>
  <c r="B76" i="3"/>
  <c r="D98" i="41"/>
  <c r="D100" i="41"/>
  <c r="D91" i="41"/>
  <c r="F87" i="41"/>
  <c r="I87" i="41"/>
  <c r="G87" i="41"/>
  <c r="D83" i="41"/>
  <c r="H75" i="41"/>
  <c r="I75" i="41"/>
  <c r="F75" i="41"/>
  <c r="D73" i="41"/>
  <c r="F73" i="41" s="1"/>
  <c r="G75" i="41"/>
  <c r="D15" i="40"/>
  <c r="D39" i="40"/>
  <c r="D55" i="40"/>
  <c r="D23" i="40"/>
  <c r="D82" i="40" s="1"/>
  <c r="D31" i="40"/>
  <c r="D47" i="40"/>
  <c r="D17" i="40"/>
  <c r="D25" i="40"/>
  <c r="D33" i="40"/>
  <c r="D41" i="40"/>
  <c r="D49" i="40"/>
  <c r="D57" i="40"/>
  <c r="D10" i="40"/>
  <c r="C51" i="59"/>
  <c r="C69" i="59"/>
  <c r="C71" i="59"/>
  <c r="C74" i="59"/>
  <c r="C34" i="59"/>
  <c r="C29" i="59"/>
  <c r="C26" i="59"/>
  <c r="C21" i="59"/>
  <c r="C18" i="59"/>
  <c r="C13" i="59"/>
  <c r="C38" i="59"/>
  <c r="C33" i="59"/>
  <c r="C30" i="59"/>
  <c r="C25" i="59"/>
  <c r="C22" i="59"/>
  <c r="C17" i="59"/>
  <c r="C14" i="59"/>
  <c r="C12" i="59"/>
  <c r="C10" i="59"/>
  <c r="F41" i="59"/>
  <c r="Q72" i="5"/>
  <c r="Q78" i="5" s="1"/>
  <c r="B59" i="3"/>
  <c r="F56" i="57" s="1"/>
  <c r="H84" i="3"/>
  <c r="J43" i="5" s="1"/>
  <c r="B55" i="3"/>
  <c r="D87" i="4"/>
  <c r="M33" i="58"/>
  <c r="H4" i="57"/>
  <c r="F67" i="41" l="1"/>
  <c r="H106" i="41"/>
  <c r="C67" i="2"/>
  <c r="E89" i="2"/>
  <c r="S69" i="63"/>
  <c r="R76" i="63"/>
  <c r="I83" i="41"/>
  <c r="H83" i="41"/>
  <c r="G83" i="41"/>
  <c r="F83" i="41"/>
  <c r="G85" i="4"/>
  <c r="G78" i="41"/>
  <c r="F78" i="41"/>
  <c r="D61" i="41"/>
  <c r="G76" i="4"/>
  <c r="M29" i="58"/>
  <c r="M39" i="58"/>
  <c r="M28" i="58"/>
  <c r="M31" i="58"/>
  <c r="F62" i="58"/>
  <c r="F80" i="58"/>
  <c r="F19" i="57"/>
  <c r="D19" i="57"/>
  <c r="C19" i="57"/>
  <c r="G19" i="57"/>
  <c r="H19" i="57"/>
  <c r="E19" i="57"/>
  <c r="E29" i="57"/>
  <c r="D29" i="57"/>
  <c r="H29" i="57"/>
  <c r="C29" i="57"/>
  <c r="G29" i="57"/>
  <c r="F29" i="57"/>
  <c r="D31" i="57"/>
  <c r="G31" i="57"/>
  <c r="C31" i="57"/>
  <c r="F31" i="57"/>
  <c r="H31" i="57"/>
  <c r="E31" i="57"/>
  <c r="H28" i="57"/>
  <c r="E28" i="57"/>
  <c r="C28" i="57"/>
  <c r="G28" i="57"/>
  <c r="F28" i="57"/>
  <c r="D28" i="57"/>
  <c r="F33" i="57"/>
  <c r="G33" i="57"/>
  <c r="E33" i="57"/>
  <c r="D33" i="57"/>
  <c r="H33" i="57"/>
  <c r="C33" i="57"/>
  <c r="M34" i="58"/>
  <c r="N34" i="58" s="1"/>
  <c r="M26" i="58"/>
  <c r="N26" i="58" s="1"/>
  <c r="M18" i="58"/>
  <c r="N18" i="58" s="1"/>
  <c r="M14" i="58"/>
  <c r="N14" i="58" s="1"/>
  <c r="M36" i="58"/>
  <c r="N36" i="58" s="1"/>
  <c r="M11" i="58"/>
  <c r="N11" i="58" s="1"/>
  <c r="M9" i="58"/>
  <c r="N9" i="58" s="1"/>
  <c r="M40" i="58"/>
  <c r="N40" i="58" s="1"/>
  <c r="M32" i="58"/>
  <c r="N32" i="58" s="1"/>
  <c r="M24" i="58"/>
  <c r="N24" i="58" s="1"/>
  <c r="M8" i="58"/>
  <c r="M38" i="58"/>
  <c r="N38" i="58" s="1"/>
  <c r="M20" i="58"/>
  <c r="N20" i="58" s="1"/>
  <c r="M35" i="58"/>
  <c r="N35" i="58" s="1"/>
  <c r="M23" i="58"/>
  <c r="N23" i="58" s="1"/>
  <c r="M15" i="58"/>
  <c r="N15" i="58" s="1"/>
  <c r="M22" i="58"/>
  <c r="N22" i="58" s="1"/>
  <c r="M37" i="58"/>
  <c r="N37" i="58" s="1"/>
  <c r="M13" i="58"/>
  <c r="N13" i="58" s="1"/>
  <c r="M27" i="58"/>
  <c r="N27" i="58" s="1"/>
  <c r="M10" i="58"/>
  <c r="M17" i="58"/>
  <c r="M16" i="58"/>
  <c r="M30" i="58"/>
  <c r="D39" i="57"/>
  <c r="C39" i="57"/>
  <c r="H39" i="57"/>
  <c r="E39" i="57"/>
  <c r="G39" i="57"/>
  <c r="F39" i="57"/>
  <c r="M25" i="58"/>
  <c r="C30" i="57"/>
  <c r="F30" i="57"/>
  <c r="D30" i="57"/>
  <c r="G30" i="57"/>
  <c r="E30" i="57"/>
  <c r="H30" i="57"/>
  <c r="M12" i="58"/>
  <c r="M21" i="58"/>
  <c r="L41" i="58"/>
  <c r="G79" i="4"/>
  <c r="C12" i="57"/>
  <c r="E12" i="57"/>
  <c r="H12" i="57"/>
  <c r="D12" i="57"/>
  <c r="G12" i="57"/>
  <c r="F12" i="57"/>
  <c r="F25" i="57"/>
  <c r="E25" i="57"/>
  <c r="G25" i="57"/>
  <c r="D25" i="57"/>
  <c r="H25" i="57"/>
  <c r="C25" i="57"/>
  <c r="M19" i="58"/>
  <c r="I33" i="57"/>
  <c r="G21" i="57"/>
  <c r="F21" i="57"/>
  <c r="H21" i="57"/>
  <c r="E21" i="57"/>
  <c r="C21" i="57"/>
  <c r="D21" i="57"/>
  <c r="K41" i="58"/>
  <c r="F31" i="58"/>
  <c r="F39" i="58"/>
  <c r="F22" i="58"/>
  <c r="F30" i="58"/>
  <c r="H22" i="58"/>
  <c r="F29" i="58"/>
  <c r="H20" i="58"/>
  <c r="G41" i="58"/>
  <c r="H8" i="58"/>
  <c r="H33" i="58"/>
  <c r="H11" i="58"/>
  <c r="F23" i="58"/>
  <c r="F24" i="58"/>
  <c r="F21" i="58"/>
  <c r="F37" i="58"/>
  <c r="H13" i="58"/>
  <c r="H16" i="58"/>
  <c r="H36" i="58"/>
  <c r="H19" i="58"/>
  <c r="F32" i="58"/>
  <c r="F38" i="58"/>
  <c r="F14" i="58"/>
  <c r="H21" i="58"/>
  <c r="H24" i="58"/>
  <c r="H10" i="58"/>
  <c r="H27" i="58"/>
  <c r="F40" i="58"/>
  <c r="F10" i="58"/>
  <c r="F18" i="58"/>
  <c r="H37" i="58"/>
  <c r="H32" i="58"/>
  <c r="H18" i="58"/>
  <c r="H35" i="58"/>
  <c r="F13" i="58"/>
  <c r="F9" i="58"/>
  <c r="F34" i="58"/>
  <c r="F12" i="58"/>
  <c r="H14" i="58"/>
  <c r="H15" i="58"/>
  <c r="H40" i="58"/>
  <c r="H26" i="58"/>
  <c r="H12" i="58"/>
  <c r="F17" i="58"/>
  <c r="F11" i="58"/>
  <c r="F20" i="58"/>
  <c r="I35" i="58"/>
  <c r="I11" i="58"/>
  <c r="I34" i="58"/>
  <c r="I26" i="58"/>
  <c r="I18" i="58"/>
  <c r="I10" i="58"/>
  <c r="I8" i="58"/>
  <c r="I28" i="58"/>
  <c r="I19" i="58"/>
  <c r="I33" i="58"/>
  <c r="I25" i="58"/>
  <c r="I17" i="58"/>
  <c r="I9" i="58"/>
  <c r="I16" i="58"/>
  <c r="I20" i="58"/>
  <c r="I40" i="58"/>
  <c r="I32" i="58"/>
  <c r="I24" i="58"/>
  <c r="I39" i="58"/>
  <c r="I31" i="58"/>
  <c r="I23" i="58"/>
  <c r="I15" i="58"/>
  <c r="I36" i="58"/>
  <c r="I38" i="58"/>
  <c r="I30" i="58"/>
  <c r="I22" i="58"/>
  <c r="I14" i="58"/>
  <c r="I27" i="58"/>
  <c r="I37" i="58"/>
  <c r="I29" i="58"/>
  <c r="I21" i="58"/>
  <c r="I13" i="58"/>
  <c r="I12" i="58"/>
  <c r="H23" i="58"/>
  <c r="H28" i="58"/>
  <c r="H34" i="58"/>
  <c r="F25" i="58"/>
  <c r="F19" i="58"/>
  <c r="F28" i="58"/>
  <c r="H30" i="58"/>
  <c r="H31" i="58"/>
  <c r="H29" i="58"/>
  <c r="H9" i="58"/>
  <c r="E41" i="58"/>
  <c r="F8" i="58"/>
  <c r="F33" i="58"/>
  <c r="F27" i="58"/>
  <c r="F36" i="58"/>
  <c r="H38" i="58"/>
  <c r="H39" i="58"/>
  <c r="H17" i="58"/>
  <c r="H25" i="58"/>
  <c r="F15" i="58"/>
  <c r="F16" i="58"/>
  <c r="F26" i="58"/>
  <c r="F35" i="58"/>
  <c r="D89" i="2"/>
  <c r="C89" i="2"/>
  <c r="M54" i="58"/>
  <c r="N54" i="58" s="1"/>
  <c r="M56" i="58"/>
  <c r="M76" i="58"/>
  <c r="N76" i="58" s="1"/>
  <c r="M74" i="58"/>
  <c r="N74" i="58" s="1"/>
  <c r="M71" i="58"/>
  <c r="M60" i="58"/>
  <c r="N60" i="58" s="1"/>
  <c r="M50" i="58"/>
  <c r="M48" i="58"/>
  <c r="N48" i="58" s="1"/>
  <c r="M73" i="58"/>
  <c r="M62" i="58"/>
  <c r="N62" i="58" s="1"/>
  <c r="M57" i="58"/>
  <c r="M75" i="58"/>
  <c r="N75" i="58" s="1"/>
  <c r="M72" i="58"/>
  <c r="N72" i="58" s="1"/>
  <c r="M58" i="58"/>
  <c r="N58" i="58" s="1"/>
  <c r="F75" i="57"/>
  <c r="F79" i="57"/>
  <c r="C54" i="2"/>
  <c r="G55" i="4"/>
  <c r="M79" i="58"/>
  <c r="M61" i="58"/>
  <c r="M77" i="58"/>
  <c r="N77" i="58" s="1"/>
  <c r="M78" i="58"/>
  <c r="N78" i="58" s="1"/>
  <c r="M51" i="58"/>
  <c r="N51" i="58" s="1"/>
  <c r="M66" i="58"/>
  <c r="N66" i="58" s="1"/>
  <c r="M55" i="58"/>
  <c r="N55" i="58" s="1"/>
  <c r="L81" i="58"/>
  <c r="G75" i="4"/>
  <c r="M64" i="58"/>
  <c r="N64" i="58" s="1"/>
  <c r="K81" i="58"/>
  <c r="G65" i="4"/>
  <c r="M59" i="58"/>
  <c r="M65" i="58"/>
  <c r="M80" i="58"/>
  <c r="N80" i="58" s="1"/>
  <c r="M49" i="58"/>
  <c r="N49" i="58" s="1"/>
  <c r="M52" i="58"/>
  <c r="M68" i="58"/>
  <c r="M63" i="58"/>
  <c r="N63" i="58" s="1"/>
  <c r="M53" i="58"/>
  <c r="N53" i="58" s="1"/>
  <c r="M69" i="58"/>
  <c r="M70" i="58"/>
  <c r="M67" i="58"/>
  <c r="N67" i="58" s="1"/>
  <c r="B102" i="3"/>
  <c r="I57" i="57"/>
  <c r="C57" i="57"/>
  <c r="H57" i="57"/>
  <c r="G57" i="57"/>
  <c r="D19" i="5"/>
  <c r="E57" i="57"/>
  <c r="D57" i="57"/>
  <c r="B118" i="3"/>
  <c r="I73" i="57"/>
  <c r="H73" i="57"/>
  <c r="G73" i="57"/>
  <c r="D35" i="5"/>
  <c r="C73" i="57"/>
  <c r="E73" i="57"/>
  <c r="D73" i="57"/>
  <c r="B121" i="3"/>
  <c r="D76" i="57"/>
  <c r="C76" i="57"/>
  <c r="I76" i="57"/>
  <c r="H76" i="57"/>
  <c r="G76" i="57"/>
  <c r="D38" i="5"/>
  <c r="E76" i="57"/>
  <c r="F76" i="57"/>
  <c r="I66" i="58"/>
  <c r="I65" i="58"/>
  <c r="F73" i="57"/>
  <c r="I78" i="58"/>
  <c r="F69" i="58"/>
  <c r="F70" i="58"/>
  <c r="F58" i="58"/>
  <c r="F73" i="58"/>
  <c r="Q50" i="58" s="1"/>
  <c r="G43" i="5"/>
  <c r="I53" i="58"/>
  <c r="F77" i="58"/>
  <c r="F51" i="58"/>
  <c r="F66" i="58"/>
  <c r="F48" i="58"/>
  <c r="E81" i="58"/>
  <c r="Q48" i="58"/>
  <c r="I64" i="58"/>
  <c r="B112" i="3"/>
  <c r="C67" i="57"/>
  <c r="I67" i="57"/>
  <c r="E67" i="57"/>
  <c r="H67" i="57"/>
  <c r="G67" i="57"/>
  <c r="D29" i="5"/>
  <c r="D67" i="57"/>
  <c r="B119" i="3"/>
  <c r="I74" i="57"/>
  <c r="H74" i="57"/>
  <c r="D74" i="57"/>
  <c r="G74" i="57"/>
  <c r="D36" i="5"/>
  <c r="E74" i="57"/>
  <c r="C74" i="57"/>
  <c r="B96" i="3"/>
  <c r="C51" i="57"/>
  <c r="E51" i="57"/>
  <c r="I51" i="57"/>
  <c r="D13" i="5"/>
  <c r="H51" i="57"/>
  <c r="G51" i="57"/>
  <c r="D51" i="57"/>
  <c r="B117" i="3"/>
  <c r="H72" i="57"/>
  <c r="G72" i="57"/>
  <c r="D34" i="5"/>
  <c r="E72" i="57"/>
  <c r="D72" i="57"/>
  <c r="C72" i="57"/>
  <c r="I72" i="57"/>
  <c r="B114" i="3"/>
  <c r="E69" i="57"/>
  <c r="D69" i="57"/>
  <c r="C69" i="57"/>
  <c r="G69" i="57"/>
  <c r="I69" i="57"/>
  <c r="H69" i="57"/>
  <c r="D31" i="5"/>
  <c r="B108" i="3"/>
  <c r="G63" i="57"/>
  <c r="D25" i="5"/>
  <c r="E63" i="57"/>
  <c r="I63" i="57"/>
  <c r="D63" i="57"/>
  <c r="C63" i="57"/>
  <c r="H63" i="57"/>
  <c r="B120" i="3"/>
  <c r="C75" i="57"/>
  <c r="I75" i="57"/>
  <c r="E75" i="57"/>
  <c r="H75" i="57"/>
  <c r="G75" i="57"/>
  <c r="D37" i="5"/>
  <c r="D75" i="57"/>
  <c r="B115" i="3"/>
  <c r="H70" i="57"/>
  <c r="E70" i="57"/>
  <c r="D70" i="57"/>
  <c r="C70" i="57"/>
  <c r="I70" i="57"/>
  <c r="D32" i="5"/>
  <c r="G70" i="57"/>
  <c r="I76" i="58"/>
  <c r="I63" i="58"/>
  <c r="F63" i="58"/>
  <c r="F59" i="58"/>
  <c r="F74" i="58"/>
  <c r="Q49" i="58"/>
  <c r="F56" i="58"/>
  <c r="G81" i="58"/>
  <c r="G86" i="4"/>
  <c r="B111" i="3"/>
  <c r="I66" i="57"/>
  <c r="H66" i="57"/>
  <c r="G66" i="57"/>
  <c r="D28" i="5"/>
  <c r="D66" i="57"/>
  <c r="E66" i="57"/>
  <c r="C66" i="57"/>
  <c r="I58" i="58"/>
  <c r="B122" i="3"/>
  <c r="B95" i="3"/>
  <c r="I50" i="57"/>
  <c r="D12" i="5"/>
  <c r="H50" i="57"/>
  <c r="G50" i="57"/>
  <c r="D50" i="57"/>
  <c r="E50" i="57"/>
  <c r="C50" i="57"/>
  <c r="I71" i="58"/>
  <c r="B98" i="3"/>
  <c r="E53" i="57"/>
  <c r="D53" i="57"/>
  <c r="G53" i="57"/>
  <c r="C53" i="57"/>
  <c r="I53" i="57"/>
  <c r="H53" i="57"/>
  <c r="D15" i="5"/>
  <c r="B124" i="3"/>
  <c r="G79" i="57"/>
  <c r="D41" i="5"/>
  <c r="E79" i="57"/>
  <c r="D79" i="57"/>
  <c r="I79" i="57"/>
  <c r="C79" i="57"/>
  <c r="H79" i="57"/>
  <c r="B116" i="3"/>
  <c r="G71" i="57"/>
  <c r="D33" i="5"/>
  <c r="E71" i="57"/>
  <c r="I71" i="57"/>
  <c r="D71" i="57"/>
  <c r="C71" i="57"/>
  <c r="H71" i="57"/>
  <c r="B94" i="3"/>
  <c r="I49" i="57"/>
  <c r="C49" i="57"/>
  <c r="H49" i="57"/>
  <c r="G49" i="57"/>
  <c r="E49" i="57"/>
  <c r="D49" i="57"/>
  <c r="D11" i="5"/>
  <c r="I48" i="58"/>
  <c r="I68" i="58"/>
  <c r="F51" i="57"/>
  <c r="F63" i="57"/>
  <c r="I57" i="58"/>
  <c r="F69" i="57"/>
  <c r="I77" i="58"/>
  <c r="I50" i="58"/>
  <c r="F55" i="58"/>
  <c r="Q51" i="58"/>
  <c r="F52" i="58"/>
  <c r="F67" i="58"/>
  <c r="F64" i="58"/>
  <c r="B105" i="3"/>
  <c r="D60" i="57"/>
  <c r="C60" i="57"/>
  <c r="I60" i="57"/>
  <c r="H60" i="57"/>
  <c r="G60" i="57"/>
  <c r="D22" i="5"/>
  <c r="E60" i="57"/>
  <c r="I52" i="58"/>
  <c r="B113" i="3"/>
  <c r="D68" i="57"/>
  <c r="C68" i="57"/>
  <c r="I68" i="57"/>
  <c r="H68" i="57"/>
  <c r="G68" i="57"/>
  <c r="D30" i="5"/>
  <c r="E68" i="57"/>
  <c r="I56" i="58"/>
  <c r="B97" i="3"/>
  <c r="D52" i="57"/>
  <c r="C52" i="57"/>
  <c r="I52" i="57"/>
  <c r="H52" i="57"/>
  <c r="G52" i="57"/>
  <c r="D14" i="5"/>
  <c r="E52" i="57"/>
  <c r="B100" i="3"/>
  <c r="G55" i="57"/>
  <c r="D17" i="5"/>
  <c r="E55" i="57"/>
  <c r="D55" i="57"/>
  <c r="I55" i="57"/>
  <c r="C55" i="57"/>
  <c r="H55" i="57"/>
  <c r="B123" i="3"/>
  <c r="E78" i="57"/>
  <c r="D78" i="57"/>
  <c r="H78" i="57"/>
  <c r="C78" i="57"/>
  <c r="I78" i="57"/>
  <c r="G78" i="57"/>
  <c r="D40" i="5"/>
  <c r="B93" i="3"/>
  <c r="H48" i="57"/>
  <c r="G48" i="57"/>
  <c r="D10" i="5"/>
  <c r="E48" i="57"/>
  <c r="D48" i="57"/>
  <c r="C48" i="57"/>
  <c r="I48" i="57"/>
  <c r="B110" i="3"/>
  <c r="I65" i="57"/>
  <c r="C65" i="57"/>
  <c r="H65" i="57"/>
  <c r="G65" i="57"/>
  <c r="D27" i="5"/>
  <c r="E65" i="57"/>
  <c r="D65" i="57"/>
  <c r="F68" i="57"/>
  <c r="I51" i="58"/>
  <c r="I79" i="58"/>
  <c r="I49" i="58"/>
  <c r="F57" i="57"/>
  <c r="I59" i="58"/>
  <c r="F79" i="58"/>
  <c r="F60" i="58"/>
  <c r="F75" i="58"/>
  <c r="F72" i="58"/>
  <c r="F74" i="57"/>
  <c r="B125" i="3"/>
  <c r="H80" i="57"/>
  <c r="G80" i="57"/>
  <c r="D42" i="5"/>
  <c r="E80" i="57"/>
  <c r="D80" i="57"/>
  <c r="C80" i="57"/>
  <c r="I80" i="57"/>
  <c r="B107" i="3"/>
  <c r="E62" i="57"/>
  <c r="H62" i="57"/>
  <c r="D62" i="57"/>
  <c r="C62" i="57"/>
  <c r="I62" i="57"/>
  <c r="G62" i="57"/>
  <c r="D24" i="5"/>
  <c r="G83" i="4"/>
  <c r="E77" i="57"/>
  <c r="G77" i="57"/>
  <c r="D77" i="57"/>
  <c r="C77" i="57"/>
  <c r="I77" i="57"/>
  <c r="H77" i="57"/>
  <c r="D39" i="5"/>
  <c r="I60" i="58"/>
  <c r="I80" i="58"/>
  <c r="F67" i="57"/>
  <c r="I69" i="58"/>
  <c r="B101" i="3"/>
  <c r="H56" i="57"/>
  <c r="G56" i="57"/>
  <c r="D18" i="5"/>
  <c r="E56" i="57"/>
  <c r="D56" i="57"/>
  <c r="C56" i="57"/>
  <c r="I56" i="57"/>
  <c r="G56" i="4"/>
  <c r="B104" i="3"/>
  <c r="C59" i="57"/>
  <c r="I59" i="57"/>
  <c r="E59" i="57"/>
  <c r="H59" i="57"/>
  <c r="G59" i="57"/>
  <c r="D21" i="5"/>
  <c r="D59" i="57"/>
  <c r="G60" i="4"/>
  <c r="E54" i="57"/>
  <c r="D54" i="57"/>
  <c r="H54" i="57"/>
  <c r="C54" i="57"/>
  <c r="I54" i="57"/>
  <c r="D16" i="5"/>
  <c r="G54" i="57"/>
  <c r="F52" i="57"/>
  <c r="F60" i="57"/>
  <c r="I72" i="58"/>
  <c r="F66" i="57"/>
  <c r="F54" i="57"/>
  <c r="F62" i="57"/>
  <c r="F53" i="58"/>
  <c r="F76" i="58"/>
  <c r="F78" i="58"/>
  <c r="F57" i="58"/>
  <c r="B109" i="3"/>
  <c r="H64" i="57"/>
  <c r="G64" i="57"/>
  <c r="D26" i="5"/>
  <c r="E64" i="57"/>
  <c r="D64" i="57"/>
  <c r="C64" i="57"/>
  <c r="I64" i="57"/>
  <c r="I54" i="58"/>
  <c r="I62" i="58"/>
  <c r="F71" i="58"/>
  <c r="F68" i="58"/>
  <c r="F49" i="58"/>
  <c r="G70" i="4"/>
  <c r="G63" i="4"/>
  <c r="B106" i="3"/>
  <c r="E61" i="57"/>
  <c r="D61" i="57"/>
  <c r="C61" i="57"/>
  <c r="G61" i="57"/>
  <c r="I61" i="57"/>
  <c r="H61" i="57"/>
  <c r="D23" i="5"/>
  <c r="B103" i="3"/>
  <c r="I58" i="57"/>
  <c r="D58" i="57"/>
  <c r="H58" i="57"/>
  <c r="G58" i="57"/>
  <c r="D20" i="5"/>
  <c r="E58" i="57"/>
  <c r="C58" i="57"/>
  <c r="F72" i="57"/>
  <c r="I67" i="58"/>
  <c r="F53" i="57"/>
  <c r="I61" i="58"/>
  <c r="I73" i="58"/>
  <c r="I75" i="58"/>
  <c r="F61" i="58"/>
  <c r="F54" i="58"/>
  <c r="F50" i="58"/>
  <c r="F65" i="58"/>
  <c r="I55" i="58"/>
  <c r="I74" i="58"/>
  <c r="N11" i="5"/>
  <c r="N57" i="5" s="1"/>
  <c r="I90" i="41"/>
  <c r="G90" i="41"/>
  <c r="C72" i="2"/>
  <c r="G82" i="4"/>
  <c r="G67" i="4"/>
  <c r="F106" i="41"/>
  <c r="G106" i="41"/>
  <c r="G66" i="4"/>
  <c r="G54" i="4"/>
  <c r="G61" i="4"/>
  <c r="G71" i="4"/>
  <c r="G58" i="4"/>
  <c r="H108" i="41"/>
  <c r="I108" i="41"/>
  <c r="I114" i="41"/>
  <c r="F114" i="41"/>
  <c r="G114" i="41"/>
  <c r="H81" i="41"/>
  <c r="F81" i="41"/>
  <c r="I97" i="41"/>
  <c r="G97" i="41"/>
  <c r="F97" i="41"/>
  <c r="F90" i="41"/>
  <c r="G85" i="41"/>
  <c r="F118" i="41"/>
  <c r="G118" i="41"/>
  <c r="D102" i="41"/>
  <c r="I102" i="41" s="1"/>
  <c r="D88" i="41"/>
  <c r="I88" i="41" s="1"/>
  <c r="D72" i="41"/>
  <c r="H72" i="41" s="1"/>
  <c r="D81" i="40"/>
  <c r="J81" i="40" s="1"/>
  <c r="H120" i="40"/>
  <c r="D75" i="40"/>
  <c r="G109" i="40"/>
  <c r="D118" i="40"/>
  <c r="I118" i="40" s="1"/>
  <c r="D87" i="40"/>
  <c r="J87" i="40" s="1"/>
  <c r="D84" i="40"/>
  <c r="J84" i="40" s="1"/>
  <c r="C81" i="59"/>
  <c r="N19" i="5"/>
  <c r="N65" i="5" s="1"/>
  <c r="B99" i="3"/>
  <c r="G59" i="4"/>
  <c r="G84" i="4"/>
  <c r="N18" i="5"/>
  <c r="N64" i="5" s="1"/>
  <c r="D112" i="40"/>
  <c r="J112" i="40" s="1"/>
  <c r="D80" i="41"/>
  <c r="I80" i="41" s="1"/>
  <c r="D110" i="40"/>
  <c r="I81" i="41"/>
  <c r="G81" i="41"/>
  <c r="G78" i="4"/>
  <c r="O62" i="5"/>
  <c r="G72" i="4"/>
  <c r="D68" i="40"/>
  <c r="N41" i="5"/>
  <c r="R70" i="5" s="1"/>
  <c r="D121" i="40"/>
  <c r="J121" i="40" s="1"/>
  <c r="D69" i="41"/>
  <c r="F69" i="41" s="1"/>
  <c r="G57" i="4"/>
  <c r="D88" i="40"/>
  <c r="I88" i="40" s="1"/>
  <c r="D97" i="40"/>
  <c r="J97" i="40" s="1"/>
  <c r="D77" i="40"/>
  <c r="D99" i="40"/>
  <c r="H99" i="40" s="1"/>
  <c r="D113" i="40"/>
  <c r="H113" i="40" s="1"/>
  <c r="D115" i="40"/>
  <c r="D105" i="40"/>
  <c r="J105" i="40" s="1"/>
  <c r="D101" i="40"/>
  <c r="H101" i="40" s="1"/>
  <c r="D93" i="40"/>
  <c r="G93" i="40" s="1"/>
  <c r="D103" i="40"/>
  <c r="J103" i="40" s="1"/>
  <c r="D94" i="40"/>
  <c r="D117" i="40"/>
  <c r="D76" i="40"/>
  <c r="J76" i="40" s="1"/>
  <c r="D71" i="40"/>
  <c r="H71" i="40" s="1"/>
  <c r="I120" i="40"/>
  <c r="D73" i="40"/>
  <c r="H73" i="40" s="1"/>
  <c r="D70" i="48"/>
  <c r="D67" i="42" s="1"/>
  <c r="I67" i="41"/>
  <c r="H67" i="41"/>
  <c r="H111" i="41"/>
  <c r="I111" i="41"/>
  <c r="G111" i="41"/>
  <c r="G67" i="41"/>
  <c r="I103" i="41"/>
  <c r="F103" i="41"/>
  <c r="H103" i="41"/>
  <c r="G103" i="41"/>
  <c r="I85" i="41"/>
  <c r="G104" i="41"/>
  <c r="H104" i="41"/>
  <c r="G109" i="41"/>
  <c r="I109" i="41"/>
  <c r="F109" i="41"/>
  <c r="I99" i="41"/>
  <c r="H99" i="41"/>
  <c r="G99" i="41"/>
  <c r="F99" i="41"/>
  <c r="I113" i="41"/>
  <c r="G113" i="41"/>
  <c r="H113" i="41"/>
  <c r="F113" i="41"/>
  <c r="F116" i="41"/>
  <c r="I116" i="41"/>
  <c r="H85" i="41"/>
  <c r="G108" i="41"/>
  <c r="F108" i="41"/>
  <c r="I92" i="41"/>
  <c r="G92" i="41"/>
  <c r="F92" i="41"/>
  <c r="I77" i="41"/>
  <c r="G77" i="41"/>
  <c r="F77" i="41"/>
  <c r="I96" i="41"/>
  <c r="H96" i="41"/>
  <c r="F96" i="41"/>
  <c r="G96" i="41"/>
  <c r="I79" i="41"/>
  <c r="H79" i="41"/>
  <c r="G79" i="41"/>
  <c r="F79" i="41"/>
  <c r="G111" i="40"/>
  <c r="J111" i="40"/>
  <c r="H85" i="40"/>
  <c r="D79" i="40"/>
  <c r="H79" i="40" s="1"/>
  <c r="D89" i="40"/>
  <c r="G89" i="40" s="1"/>
  <c r="D102" i="40"/>
  <c r="I102" i="40" s="1"/>
  <c r="D104" i="40"/>
  <c r="J104" i="40" s="1"/>
  <c r="D74" i="40"/>
  <c r="G74" i="40" s="1"/>
  <c r="D90" i="40"/>
  <c r="J90" i="40" s="1"/>
  <c r="H95" i="40"/>
  <c r="J95" i="40"/>
  <c r="C41" i="59"/>
  <c r="AC24" i="59" s="1"/>
  <c r="N22" i="5"/>
  <c r="N68" i="5" s="1"/>
  <c r="O68" i="5"/>
  <c r="S56" i="5"/>
  <c r="N27" i="5"/>
  <c r="R56" i="5" s="1"/>
  <c r="N36" i="5"/>
  <c r="R65" i="5" s="1"/>
  <c r="S65" i="5"/>
  <c r="N13" i="5"/>
  <c r="N59" i="5" s="1"/>
  <c r="N21" i="5"/>
  <c r="N67" i="5" s="1"/>
  <c r="N40" i="5"/>
  <c r="R69" i="5" s="1"/>
  <c r="N35" i="5"/>
  <c r="R64" i="5" s="1"/>
  <c r="O43" i="5"/>
  <c r="S72" i="5" s="1"/>
  <c r="N38" i="5"/>
  <c r="R67" i="5" s="1"/>
  <c r="N15" i="5"/>
  <c r="N61" i="5" s="1"/>
  <c r="S60" i="5"/>
  <c r="N31" i="5"/>
  <c r="R60" i="5" s="1"/>
  <c r="O70" i="5"/>
  <c r="N24" i="5"/>
  <c r="N70" i="5" s="1"/>
  <c r="N17" i="5"/>
  <c r="N63" i="5" s="1"/>
  <c r="N14" i="5"/>
  <c r="N60" i="5" s="1"/>
  <c r="N23" i="5"/>
  <c r="N69" i="5" s="1"/>
  <c r="N20" i="5"/>
  <c r="N66" i="5" s="1"/>
  <c r="N33" i="5"/>
  <c r="R62" i="5" s="1"/>
  <c r="O56" i="5"/>
  <c r="N25" i="5"/>
  <c r="N71" i="5" s="1"/>
  <c r="S59" i="5"/>
  <c r="N30" i="5"/>
  <c r="R59" i="5" s="1"/>
  <c r="N26" i="5"/>
  <c r="N72" i="5" s="1"/>
  <c r="O58" i="5"/>
  <c r="N28" i="5"/>
  <c r="R57" i="5" s="1"/>
  <c r="S57" i="5"/>
  <c r="N42" i="5"/>
  <c r="R71" i="5" s="1"/>
  <c r="N12" i="5"/>
  <c r="N58" i="5" s="1"/>
  <c r="N10" i="5"/>
  <c r="N56" i="5" s="1"/>
  <c r="N32" i="5"/>
  <c r="R61" i="5" s="1"/>
  <c r="N29" i="5"/>
  <c r="R58" i="5" s="1"/>
  <c r="S63" i="5"/>
  <c r="N34" i="5"/>
  <c r="R63" i="5" s="1"/>
  <c r="S68" i="5"/>
  <c r="N39" i="5"/>
  <c r="R68" i="5" s="1"/>
  <c r="N16" i="5"/>
  <c r="N62" i="5" s="1"/>
  <c r="N37" i="5"/>
  <c r="R66" i="5" s="1"/>
  <c r="G77" i="4"/>
  <c r="G73" i="4"/>
  <c r="G74" i="4"/>
  <c r="G64" i="4"/>
  <c r="G117" i="41"/>
  <c r="I117" i="41"/>
  <c r="F117" i="41"/>
  <c r="I115" i="41"/>
  <c r="F115" i="41"/>
  <c r="I107" i="41"/>
  <c r="H107" i="41"/>
  <c r="F107" i="41"/>
  <c r="G107" i="41"/>
  <c r="I110" i="41"/>
  <c r="G110" i="41"/>
  <c r="F110" i="41"/>
  <c r="H112" i="41"/>
  <c r="G112" i="41"/>
  <c r="I112" i="41"/>
  <c r="F112" i="41"/>
  <c r="I104" i="41"/>
  <c r="F104" i="41"/>
  <c r="I100" i="41"/>
  <c r="H100" i="41"/>
  <c r="G100" i="41"/>
  <c r="F100" i="41"/>
  <c r="I98" i="41"/>
  <c r="F98" i="41"/>
  <c r="G98" i="41"/>
  <c r="H105" i="41"/>
  <c r="F105" i="41"/>
  <c r="I105" i="41"/>
  <c r="G105" i="41"/>
  <c r="H95" i="41"/>
  <c r="F95" i="41"/>
  <c r="I95" i="41"/>
  <c r="G95" i="41"/>
  <c r="G93" i="41"/>
  <c r="I93" i="41"/>
  <c r="F93" i="41"/>
  <c r="H93" i="41"/>
  <c r="F91" i="41"/>
  <c r="I91" i="41"/>
  <c r="G91" i="41"/>
  <c r="H91" i="41"/>
  <c r="H89" i="41"/>
  <c r="G89" i="41"/>
  <c r="I89" i="41"/>
  <c r="F89" i="41"/>
  <c r="I86" i="41"/>
  <c r="H86" i="41"/>
  <c r="G86" i="41"/>
  <c r="F86" i="41"/>
  <c r="I84" i="41"/>
  <c r="F84" i="41"/>
  <c r="H84" i="41"/>
  <c r="G84" i="41"/>
  <c r="I82" i="41"/>
  <c r="F82" i="41"/>
  <c r="I76" i="41"/>
  <c r="F76" i="41"/>
  <c r="G76" i="41"/>
  <c r="G71" i="41"/>
  <c r="H71" i="41"/>
  <c r="F71" i="41"/>
  <c r="I71" i="41"/>
  <c r="H73" i="41"/>
  <c r="I73" i="41"/>
  <c r="G73" i="41"/>
  <c r="F74" i="41"/>
  <c r="I74" i="41"/>
  <c r="G74" i="41"/>
  <c r="F68" i="41"/>
  <c r="G68" i="41"/>
  <c r="I68" i="41"/>
  <c r="H68" i="41"/>
  <c r="H70" i="41"/>
  <c r="F70" i="41"/>
  <c r="I70" i="41"/>
  <c r="G70" i="41"/>
  <c r="D100" i="40"/>
  <c r="I85" i="40"/>
  <c r="D69" i="40"/>
  <c r="J85" i="40"/>
  <c r="D108" i="40"/>
  <c r="D98" i="40"/>
  <c r="D92" i="40"/>
  <c r="D116" i="40"/>
  <c r="H116" i="40" s="1"/>
  <c r="D106" i="40"/>
  <c r="D114" i="40"/>
  <c r="J96" i="40"/>
  <c r="G96" i="40"/>
  <c r="I96" i="40"/>
  <c r="H96" i="40"/>
  <c r="I86" i="40"/>
  <c r="H86" i="40"/>
  <c r="J86" i="40"/>
  <c r="G86" i="40"/>
  <c r="G91" i="40"/>
  <c r="J91" i="40"/>
  <c r="H91" i="40"/>
  <c r="H72" i="40"/>
  <c r="G72" i="40"/>
  <c r="I72" i="40"/>
  <c r="J72" i="40"/>
  <c r="G119" i="40"/>
  <c r="J119" i="40"/>
  <c r="H119" i="40"/>
  <c r="H80" i="40"/>
  <c r="G80" i="40"/>
  <c r="I80" i="40"/>
  <c r="J80" i="40"/>
  <c r="I83" i="40"/>
  <c r="H83" i="40"/>
  <c r="J83" i="40"/>
  <c r="G83" i="40"/>
  <c r="G107" i="40"/>
  <c r="I107" i="40"/>
  <c r="J107" i="40"/>
  <c r="H82" i="40"/>
  <c r="G82" i="40"/>
  <c r="J82" i="40"/>
  <c r="H78" i="40"/>
  <c r="G78" i="40"/>
  <c r="I78" i="40"/>
  <c r="J78" i="40"/>
  <c r="H70" i="40"/>
  <c r="G70" i="40"/>
  <c r="I70" i="40"/>
  <c r="J70" i="40"/>
  <c r="G62" i="4"/>
  <c r="B84" i="3"/>
  <c r="B42" i="3"/>
  <c r="H75" i="40" l="1"/>
  <c r="G69" i="41"/>
  <c r="H69" i="41"/>
  <c r="D120" i="41"/>
  <c r="G75" i="40"/>
  <c r="F80" i="41"/>
  <c r="N39" i="58"/>
  <c r="G115" i="40"/>
  <c r="H115" i="40"/>
  <c r="H68" i="40"/>
  <c r="N21" i="58"/>
  <c r="N16" i="58"/>
  <c r="N10" i="58"/>
  <c r="N17" i="58"/>
  <c r="M41" i="58"/>
  <c r="N8" i="58"/>
  <c r="N25" i="58"/>
  <c r="N12" i="58"/>
  <c r="N28" i="58"/>
  <c r="N31" i="58"/>
  <c r="N19" i="58"/>
  <c r="N30" i="58"/>
  <c r="N29" i="58"/>
  <c r="N33" i="58"/>
  <c r="J21" i="58"/>
  <c r="J13" i="58"/>
  <c r="J30" i="58"/>
  <c r="J32" i="58"/>
  <c r="J19" i="58"/>
  <c r="J35" i="58"/>
  <c r="J38" i="58"/>
  <c r="J40" i="58"/>
  <c r="J28" i="58"/>
  <c r="J29" i="58"/>
  <c r="J36" i="58"/>
  <c r="J20" i="58"/>
  <c r="I41" i="58"/>
  <c r="J8" i="58"/>
  <c r="C38" i="58"/>
  <c r="C41" i="57"/>
  <c r="C37" i="58"/>
  <c r="C29" i="58"/>
  <c r="C21" i="58"/>
  <c r="C13" i="58"/>
  <c r="C27" i="58"/>
  <c r="C34" i="58"/>
  <c r="C14" i="58"/>
  <c r="C36" i="58"/>
  <c r="C28" i="58"/>
  <c r="C20" i="58"/>
  <c r="C12" i="58"/>
  <c r="C19" i="58"/>
  <c r="C26" i="58"/>
  <c r="C39" i="58"/>
  <c r="C15" i="58"/>
  <c r="C22" i="58"/>
  <c r="I41" i="57"/>
  <c r="C35" i="58"/>
  <c r="C11" i="58"/>
  <c r="C10" i="58"/>
  <c r="C31" i="58"/>
  <c r="C30" i="58"/>
  <c r="H41" i="57"/>
  <c r="C18" i="58"/>
  <c r="G41" i="57"/>
  <c r="C33" i="58"/>
  <c r="C25" i="58"/>
  <c r="C17" i="58"/>
  <c r="C9" i="58"/>
  <c r="C23" i="58"/>
  <c r="C40" i="58"/>
  <c r="C32" i="58"/>
  <c r="C24" i="58"/>
  <c r="C16" i="58"/>
  <c r="C8" i="58"/>
  <c r="D41" i="57"/>
  <c r="E41" i="57"/>
  <c r="J37" i="58"/>
  <c r="J15" i="58"/>
  <c r="J16" i="58"/>
  <c r="J10" i="58"/>
  <c r="F41" i="57"/>
  <c r="J23" i="58"/>
  <c r="J9" i="58"/>
  <c r="J18" i="58"/>
  <c r="J27" i="58"/>
  <c r="J31" i="58"/>
  <c r="J17" i="58"/>
  <c r="J26" i="58"/>
  <c r="J14" i="58"/>
  <c r="J39" i="58"/>
  <c r="J25" i="58"/>
  <c r="J34" i="58"/>
  <c r="J12" i="58"/>
  <c r="J22" i="58"/>
  <c r="J24" i="58"/>
  <c r="J33" i="58"/>
  <c r="J11" i="58"/>
  <c r="C55" i="58"/>
  <c r="S70" i="63"/>
  <c r="U72" i="63" s="1"/>
  <c r="J57" i="58"/>
  <c r="Q47" i="58"/>
  <c r="C58" i="58"/>
  <c r="C80" i="58"/>
  <c r="N69" i="58"/>
  <c r="N71" i="58"/>
  <c r="N61" i="58"/>
  <c r="C49" i="58"/>
  <c r="N65" i="58"/>
  <c r="N56" i="58"/>
  <c r="N79" i="58"/>
  <c r="N73" i="58"/>
  <c r="N70" i="58"/>
  <c r="N59" i="58"/>
  <c r="N57" i="58"/>
  <c r="N68" i="58"/>
  <c r="M81" i="58"/>
  <c r="N52" i="58"/>
  <c r="N50" i="58"/>
  <c r="I81" i="57"/>
  <c r="H81" i="57"/>
  <c r="C81" i="57"/>
  <c r="G81" i="57"/>
  <c r="D43" i="5"/>
  <c r="E81" i="57"/>
  <c r="D81" i="57"/>
  <c r="J72" i="58"/>
  <c r="J75" i="58"/>
  <c r="C61" i="58"/>
  <c r="J80" i="58"/>
  <c r="C68" i="58"/>
  <c r="C70" i="58"/>
  <c r="C63" i="58"/>
  <c r="J64" i="58"/>
  <c r="J53" i="58"/>
  <c r="J73" i="58"/>
  <c r="C69" i="58"/>
  <c r="C72" i="58"/>
  <c r="C74" i="58"/>
  <c r="C67" i="58"/>
  <c r="J65" i="58"/>
  <c r="C73" i="58"/>
  <c r="C57" i="58"/>
  <c r="J74" i="58"/>
  <c r="J61" i="58"/>
  <c r="C54" i="58"/>
  <c r="C56" i="58"/>
  <c r="J59" i="58"/>
  <c r="C60" i="58"/>
  <c r="C53" i="58"/>
  <c r="J71" i="58"/>
  <c r="C66" i="58"/>
  <c r="F81" i="57"/>
  <c r="J66" i="58"/>
  <c r="J60" i="58"/>
  <c r="J55" i="58"/>
  <c r="C65" i="58"/>
  <c r="C75" i="58"/>
  <c r="J49" i="58"/>
  <c r="C78" i="58"/>
  <c r="J68" i="58"/>
  <c r="J62" i="58"/>
  <c r="C59" i="58"/>
  <c r="C77" i="58"/>
  <c r="C62" i="58"/>
  <c r="J79" i="58"/>
  <c r="J56" i="58"/>
  <c r="J48" i="58"/>
  <c r="I81" i="58"/>
  <c r="C71" i="58"/>
  <c r="J58" i="58"/>
  <c r="J67" i="58"/>
  <c r="C64" i="58"/>
  <c r="J54" i="58"/>
  <c r="J69" i="58"/>
  <c r="J51" i="58"/>
  <c r="C48" i="58"/>
  <c r="C52" i="58"/>
  <c r="J50" i="58"/>
  <c r="C79" i="58"/>
  <c r="C50" i="58"/>
  <c r="J63" i="58"/>
  <c r="C51" i="58"/>
  <c r="C76" i="58"/>
  <c r="J52" i="58"/>
  <c r="J77" i="58"/>
  <c r="J76" i="58"/>
  <c r="J78" i="58"/>
  <c r="J70" i="58"/>
  <c r="G88" i="40"/>
  <c r="G72" i="41"/>
  <c r="F72" i="41"/>
  <c r="I72" i="41"/>
  <c r="H103" i="40"/>
  <c r="I84" i="40"/>
  <c r="G118" i="40"/>
  <c r="I87" i="40"/>
  <c r="J118" i="40"/>
  <c r="H121" i="40"/>
  <c r="G87" i="4"/>
  <c r="G87" i="40"/>
  <c r="H87" i="40"/>
  <c r="J75" i="40"/>
  <c r="I75" i="40"/>
  <c r="H84" i="40"/>
  <c r="F88" i="41"/>
  <c r="G88" i="41"/>
  <c r="H88" i="41"/>
  <c r="H102" i="41"/>
  <c r="I103" i="40"/>
  <c r="F102" i="41"/>
  <c r="G80" i="41"/>
  <c r="H80" i="41"/>
  <c r="G102" i="41"/>
  <c r="I97" i="40"/>
  <c r="H81" i="40"/>
  <c r="H97" i="40"/>
  <c r="G97" i="40"/>
  <c r="I76" i="40"/>
  <c r="H118" i="40"/>
  <c r="G84" i="40"/>
  <c r="H74" i="40"/>
  <c r="I81" i="40"/>
  <c r="G81" i="40"/>
  <c r="G112" i="40"/>
  <c r="G113" i="40"/>
  <c r="G121" i="40"/>
  <c r="J99" i="40"/>
  <c r="I69" i="41"/>
  <c r="J115" i="40"/>
  <c r="G94" i="40"/>
  <c r="I94" i="40"/>
  <c r="I71" i="40"/>
  <c r="AA62" i="41"/>
  <c r="I113" i="40"/>
  <c r="J113" i="40"/>
  <c r="G76" i="40"/>
  <c r="H88" i="40"/>
  <c r="G99" i="40"/>
  <c r="G73" i="40"/>
  <c r="I110" i="40"/>
  <c r="J110" i="40"/>
  <c r="G110" i="40"/>
  <c r="J79" i="40"/>
  <c r="H76" i="40"/>
  <c r="J88" i="40"/>
  <c r="G68" i="40"/>
  <c r="H93" i="40"/>
  <c r="J77" i="40"/>
  <c r="H77" i="40"/>
  <c r="J71" i="40"/>
  <c r="J93" i="40"/>
  <c r="J89" i="40"/>
  <c r="H94" i="40"/>
  <c r="G77" i="40"/>
  <c r="I77" i="40"/>
  <c r="G117" i="40"/>
  <c r="I117" i="40"/>
  <c r="H117" i="40"/>
  <c r="J117" i="40"/>
  <c r="J101" i="40"/>
  <c r="G71" i="40"/>
  <c r="H90" i="40"/>
  <c r="G104" i="40"/>
  <c r="H89" i="40"/>
  <c r="J68" i="40"/>
  <c r="G101" i="40"/>
  <c r="J94" i="40"/>
  <c r="I101" i="40"/>
  <c r="I90" i="40"/>
  <c r="I104" i="40"/>
  <c r="G90" i="40"/>
  <c r="J73" i="40"/>
  <c r="I73" i="40"/>
  <c r="J74" i="40"/>
  <c r="G79" i="40"/>
  <c r="I74" i="40"/>
  <c r="J102" i="40"/>
  <c r="H102" i="40"/>
  <c r="G102" i="40"/>
  <c r="I79" i="40"/>
  <c r="I68" i="40"/>
  <c r="J106" i="40"/>
  <c r="G106" i="40"/>
  <c r="H106" i="40"/>
  <c r="J100" i="40"/>
  <c r="G100" i="40"/>
  <c r="H98" i="40"/>
  <c r="I98" i="40"/>
  <c r="J98" i="40"/>
  <c r="G98" i="40"/>
  <c r="I114" i="40"/>
  <c r="G114" i="40"/>
  <c r="J114" i="40"/>
  <c r="J116" i="40"/>
  <c r="J92" i="40"/>
  <c r="H92" i="40"/>
  <c r="I92" i="40"/>
  <c r="G92" i="40"/>
  <c r="J108" i="40"/>
  <c r="I108" i="40"/>
  <c r="G108" i="40"/>
  <c r="J69" i="40"/>
  <c r="G69" i="40"/>
  <c r="H69" i="40"/>
  <c r="I69" i="40"/>
  <c r="H85" i="3"/>
  <c r="G85" i="3"/>
  <c r="D85" i="3"/>
  <c r="E85" i="3"/>
  <c r="C85" i="3"/>
  <c r="F85" i="3"/>
  <c r="G43" i="3"/>
  <c r="C45" i="3"/>
  <c r="H43" i="3"/>
  <c r="F43" i="3"/>
  <c r="C43" i="3"/>
  <c r="E43" i="3"/>
  <c r="D43" i="3"/>
  <c r="G119" i="41" l="1"/>
  <c r="D24" i="58"/>
  <c r="D28" i="58"/>
  <c r="D37" i="58"/>
  <c r="D32" i="58"/>
  <c r="D18" i="58"/>
  <c r="D22" i="58"/>
  <c r="D36" i="58"/>
  <c r="D40" i="58"/>
  <c r="D15" i="58"/>
  <c r="D14" i="58"/>
  <c r="D38" i="58"/>
  <c r="D23" i="58"/>
  <c r="D30" i="58"/>
  <c r="D39" i="58"/>
  <c r="D34" i="58"/>
  <c r="D9" i="58"/>
  <c r="D31" i="58"/>
  <c r="D26" i="58"/>
  <c r="D27" i="58"/>
  <c r="D17" i="58"/>
  <c r="D10" i="58"/>
  <c r="D19" i="58"/>
  <c r="D13" i="58"/>
  <c r="C41" i="58"/>
  <c r="D8" i="58"/>
  <c r="D25" i="58"/>
  <c r="D11" i="58"/>
  <c r="D12" i="58"/>
  <c r="D21" i="58"/>
  <c r="D16" i="58"/>
  <c r="D33" i="58"/>
  <c r="D35" i="58"/>
  <c r="D20" i="58"/>
  <c r="D29" i="58"/>
  <c r="D62" i="58"/>
  <c r="D77" i="58"/>
  <c r="D59" i="58"/>
  <c r="D60" i="58"/>
  <c r="D50" i="58"/>
  <c r="D57" i="58"/>
  <c r="D52" i="58"/>
  <c r="D63" i="58"/>
  <c r="D49" i="58"/>
  <c r="D48" i="58"/>
  <c r="C81" i="58"/>
  <c r="D80" i="58"/>
  <c r="D58" i="58"/>
  <c r="D56" i="58"/>
  <c r="D74" i="58"/>
  <c r="D70" i="58"/>
  <c r="D79" i="58"/>
  <c r="D65" i="58"/>
  <c r="D76" i="58"/>
  <c r="D54" i="58"/>
  <c r="D72" i="58"/>
  <c r="D68" i="58"/>
  <c r="D64" i="58"/>
  <c r="D73" i="58"/>
  <c r="D51" i="58"/>
  <c r="D78" i="58"/>
  <c r="D69" i="58"/>
  <c r="D75" i="58"/>
  <c r="D53" i="58"/>
  <c r="D71" i="58"/>
  <c r="D67" i="58"/>
  <c r="D66" i="58"/>
  <c r="D55" i="58"/>
  <c r="D61" i="58"/>
  <c r="F119" i="41"/>
  <c r="I119" i="41"/>
  <c r="H119" i="41"/>
  <c r="I122" i="40"/>
  <c r="J122" i="40"/>
  <c r="G122" i="40"/>
  <c r="H122" i="40"/>
  <c r="B85" i="3"/>
  <c r="B43" i="3"/>
  <c r="K122" i="40" l="1"/>
  <c r="K123" i="40" s="1"/>
  <c r="J119" i="41"/>
  <c r="J120" i="41" s="1"/>
  <c r="J121" i="41" l="1"/>
  <c r="J122" i="41" s="1"/>
  <c r="AG116" i="40" l="1"/>
  <c r="D46" i="2"/>
  <c r="D47" i="2"/>
  <c r="D45" i="2"/>
  <c r="D48" i="2" s="1"/>
  <c r="C47" i="2"/>
  <c r="E46" i="2"/>
  <c r="E32" i="2"/>
  <c r="E47" i="2"/>
  <c r="E45" i="2"/>
  <c r="E48" i="2" s="1"/>
  <c r="F46" i="2"/>
  <c r="F47" i="2"/>
  <c r="F48" i="2"/>
  <c r="F45" i="2"/>
  <c r="F32" i="2"/>
  <c r="C46" i="2" l="1"/>
  <c r="C48" i="2"/>
  <c r="C32" i="2"/>
  <c r="G22" i="2" l="1"/>
  <c r="H13" i="2"/>
  <c r="H24" i="2"/>
  <c r="H16" i="2"/>
  <c r="H27" i="2"/>
  <c r="H17" i="2"/>
  <c r="I15" i="2"/>
  <c r="G18" i="2"/>
  <c r="J24" i="2"/>
  <c r="I23" i="2"/>
  <c r="G27" i="2"/>
  <c r="J16" i="2"/>
  <c r="G30" i="2"/>
  <c r="I26" i="2"/>
  <c r="J28" i="2"/>
  <c r="G16" i="2"/>
  <c r="H18" i="2"/>
  <c r="I24" i="2"/>
  <c r="G25" i="2"/>
  <c r="G10" i="2"/>
  <c r="J10" i="2"/>
  <c r="G19" i="2"/>
  <c r="G13" i="2"/>
  <c r="I28" i="2"/>
  <c r="H22" i="2"/>
  <c r="J21" i="2"/>
  <c r="H12" i="2"/>
  <c r="I21" i="2"/>
  <c r="H14" i="2"/>
  <c r="I25" i="2"/>
  <c r="J15" i="2"/>
  <c r="I16" i="2"/>
  <c r="I12" i="2"/>
  <c r="G11" i="2"/>
  <c r="G17" i="2"/>
  <c r="H23" i="2"/>
  <c r="J25" i="2"/>
  <c r="I20" i="2"/>
  <c r="H20" i="2"/>
  <c r="I30" i="2"/>
  <c r="H26" i="2"/>
  <c r="I10" i="2"/>
  <c r="I14" i="2"/>
  <c r="J31" i="2"/>
  <c r="I19" i="2"/>
  <c r="G15" i="2"/>
  <c r="J17" i="2"/>
  <c r="H10" i="2"/>
  <c r="G12" i="2"/>
  <c r="G26" i="2"/>
  <c r="G20" i="2"/>
  <c r="H11" i="2"/>
  <c r="H25" i="2"/>
  <c r="I31" i="2"/>
  <c r="J20" i="2"/>
  <c r="J23" i="2"/>
  <c r="J13" i="2"/>
  <c r="H21" i="2"/>
  <c r="I13" i="2"/>
  <c r="G28" i="2"/>
  <c r="J22" i="2"/>
  <c r="H31" i="2"/>
  <c r="G24" i="2"/>
  <c r="J18" i="2"/>
  <c r="H19" i="2"/>
  <c r="H15" i="2"/>
  <c r="I17" i="2"/>
  <c r="J30" i="2"/>
  <c r="J12" i="2"/>
  <c r="J26" i="2"/>
  <c r="I11" i="2"/>
  <c r="I22" i="2"/>
  <c r="G21" i="2"/>
  <c r="G32" i="2"/>
  <c r="I18" i="2"/>
  <c r="J11" i="2"/>
  <c r="J27" i="2"/>
  <c r="I27" i="2"/>
  <c r="J14" i="2"/>
  <c r="H30" i="2"/>
  <c r="G31" i="2"/>
  <c r="J19" i="2"/>
  <c r="G23" i="2"/>
  <c r="G14" i="2"/>
  <c r="J32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Brenda Suazo-Giles</author>
  </authors>
  <commentList>
    <comment ref="K18" authorId="0" shapeId="0" xr:uid="{A770ECB2-1A2A-4997-BE75-66B4B97A2E1C}">
      <text>
        <r>
          <rPr>
            <b/>
            <sz val="9"/>
            <color indexed="81"/>
            <rFont val="Tahoma"/>
            <family val="2"/>
          </rPr>
          <t>Referenced in Narrative for Table 8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Brenda Suazo-Giles</author>
  </authors>
  <commentList>
    <comment ref="AD24" authorId="0" shapeId="0" xr:uid="{6B8BE0F7-43A4-4DB3-A51C-FEB4AD5BE9B6}">
      <text>
        <r>
          <rPr>
            <b/>
            <sz val="9"/>
            <color indexed="81"/>
            <rFont val="Tahoma"/>
            <family val="2"/>
          </rPr>
          <t>Use rounded amount for Narrative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Brenda Suazo-Giles</author>
  </authors>
  <commentList>
    <comment ref="Q3" authorId="0" shapeId="0" xr:uid="{6C2C2C85-376A-421B-ADF5-073C449A5982}">
      <text>
        <r>
          <rPr>
            <sz val="9"/>
            <color indexed="81"/>
            <rFont val="Tahoma"/>
            <family val="2"/>
          </rPr>
          <t xml:space="preserve">Manually verify municipality or unincorporated area referenced in Row 7.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Brenda Suazo-Giles</author>
  </authors>
  <commentList>
    <comment ref="P3" authorId="0" shapeId="0" xr:uid="{EBAFA24E-92D7-4F04-930C-9EB1089A5D6B}">
      <text>
        <r>
          <rPr>
            <sz val="9"/>
            <color indexed="81"/>
            <rFont val="Tahoma"/>
            <family val="2"/>
          </rPr>
          <t xml:space="preserve">Manually verify municipality or unincorporated area referenced in Row 6.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Brenda Suazo-Giles</author>
  </authors>
  <commentList>
    <comment ref="G122" authorId="0" shapeId="0" xr:uid="{1F916AF2-59A1-43BB-ABB5-C819F8305F79}">
      <text>
        <r>
          <rPr>
            <sz val="9"/>
            <color indexed="81"/>
            <rFont val="Tahoma"/>
            <family val="2"/>
          </rPr>
          <t>Reference the 2 municipalities with the lowest NTV on Narrative for Table 20.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Brenda Suazo-Giles</author>
  </authors>
  <commentList>
    <comment ref="G121" authorId="0" shapeId="0" xr:uid="{3BCA317B-B029-4511-9457-428B1CB273DD}">
      <text>
        <r>
          <rPr>
            <sz val="9"/>
            <color indexed="81"/>
            <rFont val="Tahoma"/>
            <family val="2"/>
          </rPr>
          <t>Reference the municipality counts by range for the 3 ranges shown here on Narrative for Table 20.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Brenda Suazo-Giles</author>
  </authors>
  <commentList>
    <comment ref="AC9" authorId="0" shapeId="0" xr:uid="{E0A37210-5825-44BC-9DBA-12396ADB4AF5}">
      <text>
        <r>
          <rPr>
            <sz val="9"/>
            <color indexed="81"/>
            <rFont val="Tahoma"/>
            <family val="2"/>
          </rPr>
          <t>Manually verify that these two municipalities are still the highest operating revenue.</t>
        </r>
      </text>
    </comment>
  </commentList>
</comments>
</file>

<file path=xl/sharedStrings.xml><?xml version="1.0" encoding="utf-8"?>
<sst xmlns="http://schemas.openxmlformats.org/spreadsheetml/2006/main" count="3370" uniqueCount="619">
  <si>
    <t xml:space="preserve">   Totals</t>
  </si>
  <si>
    <t>Information source: complied from rate certificate files issued by the New Mexico Department of Finance and Administration.</t>
  </si>
  <si>
    <t>Table 18</t>
  </si>
  <si>
    <t>Percent of Total</t>
  </si>
  <si>
    <t>Ad Valorem</t>
  </si>
  <si>
    <t>Non-</t>
  </si>
  <si>
    <t>Production &amp;</t>
  </si>
  <si>
    <t>Recipient</t>
  </si>
  <si>
    <t>Total</t>
  </si>
  <si>
    <t>Residential</t>
  </si>
  <si>
    <t>Equipment</t>
  </si>
  <si>
    <t>State Debt Service</t>
  </si>
  <si>
    <t>County Operating</t>
  </si>
  <si>
    <t>County Debt Service</t>
  </si>
  <si>
    <t>County Other</t>
  </si>
  <si>
    <t>Total County</t>
  </si>
  <si>
    <t>Municipal Operating</t>
  </si>
  <si>
    <t>Municipal Debt Service</t>
  </si>
  <si>
    <t>Municipal Other</t>
  </si>
  <si>
    <t>Total Municipal</t>
  </si>
  <si>
    <t>School District Operating</t>
  </si>
  <si>
    <t>School District Debt Service</t>
  </si>
  <si>
    <t>School District Capital Improvement</t>
  </si>
  <si>
    <t>School District HB-33</t>
  </si>
  <si>
    <t>School District Educational Technology</t>
  </si>
  <si>
    <t>Total School District</t>
  </si>
  <si>
    <t>Grand Total</t>
  </si>
  <si>
    <t>County</t>
  </si>
  <si>
    <t>Nonresidential</t>
  </si>
  <si>
    <t>Subtotal</t>
  </si>
  <si>
    <t>Production</t>
  </si>
  <si>
    <t>Bernalillo</t>
  </si>
  <si>
    <t>Catron</t>
  </si>
  <si>
    <t>Chaves</t>
  </si>
  <si>
    <t>Cibola</t>
  </si>
  <si>
    <t>Colfax</t>
  </si>
  <si>
    <t>Curry</t>
  </si>
  <si>
    <t>Dona Ana</t>
  </si>
  <si>
    <t>Eddy</t>
  </si>
  <si>
    <t>Grant</t>
  </si>
  <si>
    <t>Guadalupe</t>
  </si>
  <si>
    <t>Harding</t>
  </si>
  <si>
    <t>Hidalgo</t>
  </si>
  <si>
    <t>Lea</t>
  </si>
  <si>
    <t>Lincoln</t>
  </si>
  <si>
    <t>Los Alamos</t>
  </si>
  <si>
    <t>Luna</t>
  </si>
  <si>
    <t>McKinley</t>
  </si>
  <si>
    <t>Mora</t>
  </si>
  <si>
    <t>Otero</t>
  </si>
  <si>
    <t>Quay</t>
  </si>
  <si>
    <t>Rio Arriba</t>
  </si>
  <si>
    <t>Roosevelt</t>
  </si>
  <si>
    <t>San Juan</t>
  </si>
  <si>
    <t>San Miguel</t>
  </si>
  <si>
    <t>Sandoval</t>
  </si>
  <si>
    <t>Santa Fe</t>
  </si>
  <si>
    <t>Sierra</t>
  </si>
  <si>
    <t>Socorro</t>
  </si>
  <si>
    <t>Taos</t>
  </si>
  <si>
    <t>Torrance</t>
  </si>
  <si>
    <t>Union</t>
  </si>
  <si>
    <t>Valencia</t>
  </si>
  <si>
    <t xml:space="preserve">   Total</t>
  </si>
  <si>
    <t>Estimated</t>
  </si>
  <si>
    <t>Population,</t>
  </si>
  <si>
    <t>residential</t>
  </si>
  <si>
    <t>De Baca</t>
  </si>
  <si>
    <t xml:space="preserve">   Total/Average</t>
  </si>
  <si>
    <t>N/A</t>
  </si>
  <si>
    <t>Per Capita Property Tax Obligations by New Mexico County, 2008 Tax Year</t>
  </si>
  <si>
    <r>
      <t>2005</t>
    </r>
    <r>
      <rPr>
        <vertAlign val="superscript"/>
        <sz val="10"/>
        <rFont val="Arial"/>
        <family val="2"/>
      </rPr>
      <t>1</t>
    </r>
  </si>
  <si>
    <t>Non-residential</t>
  </si>
  <si>
    <t>Table 8</t>
  </si>
  <si>
    <t>Tax</t>
  </si>
  <si>
    <t>Municipality</t>
  </si>
  <si>
    <t>Albuquerque</t>
  </si>
  <si>
    <t>12 In</t>
  </si>
  <si>
    <t>Hope</t>
  </si>
  <si>
    <t xml:space="preserve">16D In  </t>
  </si>
  <si>
    <t>1 OUT</t>
  </si>
  <si>
    <t>21 OUT</t>
  </si>
  <si>
    <t>Los Ranchos</t>
  </si>
  <si>
    <t>(continued)</t>
  </si>
  <si>
    <t>C Out</t>
  </si>
  <si>
    <t>4 OUT</t>
  </si>
  <si>
    <t>Tijeras</t>
  </si>
  <si>
    <t xml:space="preserve">10 Out </t>
  </si>
  <si>
    <t>11 OUT</t>
  </si>
  <si>
    <t>C IN</t>
  </si>
  <si>
    <t>Corrales</t>
  </si>
  <si>
    <t>2A In</t>
  </si>
  <si>
    <t xml:space="preserve">16 Out </t>
  </si>
  <si>
    <t>Espanola</t>
  </si>
  <si>
    <t>18 IN</t>
  </si>
  <si>
    <t>Rio Rancho</t>
  </si>
  <si>
    <t>R1-A NR</t>
  </si>
  <si>
    <t>Silver City</t>
  </si>
  <si>
    <t>1 IN</t>
  </si>
  <si>
    <t>Tucumcari</t>
  </si>
  <si>
    <t>Edgewood</t>
  </si>
  <si>
    <t>8T IN</t>
  </si>
  <si>
    <t>12 Out</t>
  </si>
  <si>
    <t>Hurley</t>
  </si>
  <si>
    <t>2H IN</t>
  </si>
  <si>
    <t>House</t>
  </si>
  <si>
    <t>19 IN</t>
  </si>
  <si>
    <t>C OUT</t>
  </si>
  <si>
    <t>8T</t>
  </si>
  <si>
    <t>Bayard</t>
  </si>
  <si>
    <t>2B IN</t>
  </si>
  <si>
    <t>Logan</t>
  </si>
  <si>
    <t>32 IN</t>
  </si>
  <si>
    <t>24 Out</t>
  </si>
  <si>
    <t>Santa Clara</t>
  </si>
  <si>
    <t>2C IN</t>
  </si>
  <si>
    <t>San Jon</t>
  </si>
  <si>
    <t>34 IN</t>
  </si>
  <si>
    <t>Reserve</t>
  </si>
  <si>
    <t>1 In</t>
  </si>
  <si>
    <t>18 OUT</t>
  </si>
  <si>
    <t>1 Out</t>
  </si>
  <si>
    <t>2 OUT</t>
  </si>
  <si>
    <t>19 OUT</t>
  </si>
  <si>
    <t>T or C</t>
  </si>
  <si>
    <t>6 IN</t>
  </si>
  <si>
    <t>2  Out</t>
  </si>
  <si>
    <t>Santa Rosa</t>
  </si>
  <si>
    <t>8 IN</t>
  </si>
  <si>
    <t>32 OUT</t>
  </si>
  <si>
    <t>Williamsburg</t>
  </si>
  <si>
    <t>6W IN</t>
  </si>
  <si>
    <t xml:space="preserve">2A Out   </t>
  </si>
  <si>
    <t>Vaughn</t>
  </si>
  <si>
    <t>33 IN</t>
  </si>
  <si>
    <t>34 OUT</t>
  </si>
  <si>
    <t>Elephant Butte</t>
  </si>
  <si>
    <t>6 EB</t>
  </si>
  <si>
    <t>Roswell</t>
  </si>
  <si>
    <t xml:space="preserve">1 in   </t>
  </si>
  <si>
    <t>Roy</t>
  </si>
  <si>
    <t>3 IN</t>
  </si>
  <si>
    <t>23/47</t>
  </si>
  <si>
    <t>6 OUT</t>
  </si>
  <si>
    <t>Hagerman</t>
  </si>
  <si>
    <t xml:space="preserve">6 in   </t>
  </si>
  <si>
    <t>Mosquero</t>
  </si>
  <si>
    <t>5 IN</t>
  </si>
  <si>
    <t>Dexter</t>
  </si>
  <si>
    <t xml:space="preserve">8 in   </t>
  </si>
  <si>
    <t>8 OUT</t>
  </si>
  <si>
    <t>Magdalena</t>
  </si>
  <si>
    <t>12 IN</t>
  </si>
  <si>
    <t>Lake Arthur</t>
  </si>
  <si>
    <t>33 OUT</t>
  </si>
  <si>
    <t>Chama</t>
  </si>
  <si>
    <t>3 OUT</t>
  </si>
  <si>
    <t>12 OUT</t>
  </si>
  <si>
    <t>6 Out</t>
  </si>
  <si>
    <t>5 OUT</t>
  </si>
  <si>
    <t>8 Out</t>
  </si>
  <si>
    <t>24/25</t>
  </si>
  <si>
    <t>21</t>
  </si>
  <si>
    <t>7L</t>
  </si>
  <si>
    <t>20 Out</t>
  </si>
  <si>
    <t>Lordsburg</t>
  </si>
  <si>
    <t>13L</t>
  </si>
  <si>
    <t>Virden</t>
  </si>
  <si>
    <t>1A IN</t>
  </si>
  <si>
    <t>13T</t>
  </si>
  <si>
    <t>27/28</t>
  </si>
  <si>
    <t>6T</t>
  </si>
  <si>
    <t>1A OUT</t>
  </si>
  <si>
    <t>Questa</t>
  </si>
  <si>
    <t>9 IN</t>
  </si>
  <si>
    <t xml:space="preserve">1L  </t>
  </si>
  <si>
    <t>Portales</t>
  </si>
  <si>
    <t>Red River</t>
  </si>
  <si>
    <t>9RR  IN</t>
  </si>
  <si>
    <t>Grants</t>
  </si>
  <si>
    <t>3 In</t>
  </si>
  <si>
    <t>Lovington</t>
  </si>
  <si>
    <t>Elida</t>
  </si>
  <si>
    <t>2 IN</t>
  </si>
  <si>
    <t>Taos Ski Valley</t>
  </si>
  <si>
    <t>8-18 IN</t>
  </si>
  <si>
    <t>Milan</t>
  </si>
  <si>
    <t>3A In</t>
  </si>
  <si>
    <t>Eunice</t>
  </si>
  <si>
    <t>Floyd</t>
  </si>
  <si>
    <t>3 Out</t>
  </si>
  <si>
    <t>Hobbs</t>
  </si>
  <si>
    <t>16 IN</t>
  </si>
  <si>
    <t>Causey</t>
  </si>
  <si>
    <t>39A IN</t>
  </si>
  <si>
    <t>1A</t>
  </si>
  <si>
    <t>Qmo2</t>
  </si>
  <si>
    <t>Jal</t>
  </si>
  <si>
    <t>19 In</t>
  </si>
  <si>
    <t>Dora</t>
  </si>
  <si>
    <t>39 IN</t>
  </si>
  <si>
    <t>Cimarron</t>
  </si>
  <si>
    <t>Tatum</t>
  </si>
  <si>
    <t>28 IN</t>
  </si>
  <si>
    <t>Eagle Nest</t>
  </si>
  <si>
    <t>9 OUT</t>
  </si>
  <si>
    <t>Angel Fire</t>
  </si>
  <si>
    <t>3B In</t>
  </si>
  <si>
    <t>Estancia</t>
  </si>
  <si>
    <t>7 IN</t>
  </si>
  <si>
    <t>Raton</t>
  </si>
  <si>
    <t xml:space="preserve">11 in   </t>
  </si>
  <si>
    <t>16 OUT</t>
  </si>
  <si>
    <t>39 OUT</t>
  </si>
  <si>
    <t>Willard</t>
  </si>
  <si>
    <t>7W IN</t>
  </si>
  <si>
    <t>Springer</t>
  </si>
  <si>
    <t>24 In</t>
  </si>
  <si>
    <t>Moriarty</t>
  </si>
  <si>
    <t>Maxwell</t>
  </si>
  <si>
    <t>26 In</t>
  </si>
  <si>
    <t>28 OUT</t>
  </si>
  <si>
    <t>9/53</t>
  </si>
  <si>
    <t>Mountainair</t>
  </si>
  <si>
    <t>13 IN</t>
  </si>
  <si>
    <t xml:space="preserve">3 Out   </t>
  </si>
  <si>
    <t>Ruidoso</t>
  </si>
  <si>
    <t>9A</t>
  </si>
  <si>
    <t>Encino</t>
  </si>
  <si>
    <t xml:space="preserve">11 Out </t>
  </si>
  <si>
    <t>Ruidoso Downs</t>
  </si>
  <si>
    <t>35 IN</t>
  </si>
  <si>
    <t>7 OUT</t>
  </si>
  <si>
    <t>Carrizozo</t>
  </si>
  <si>
    <t>Cuba</t>
  </si>
  <si>
    <t>20 IN</t>
  </si>
  <si>
    <t>26 Out</t>
  </si>
  <si>
    <t>Corona</t>
  </si>
  <si>
    <t>Jemez Springs</t>
  </si>
  <si>
    <t>31 IN</t>
  </si>
  <si>
    <t>13 OUT</t>
  </si>
  <si>
    <t>Capitan</t>
  </si>
  <si>
    <t>San Ysidro</t>
  </si>
  <si>
    <t>31A IN</t>
  </si>
  <si>
    <t>Clovis</t>
  </si>
  <si>
    <t>3/35 OUT</t>
  </si>
  <si>
    <t>2A IN</t>
  </si>
  <si>
    <t>20 / 35</t>
  </si>
  <si>
    <t>Texico</t>
  </si>
  <si>
    <t>2 In</t>
  </si>
  <si>
    <t>94 IN</t>
  </si>
  <si>
    <t>Clayton</t>
  </si>
  <si>
    <t>Melrose</t>
  </si>
  <si>
    <t>Des Moines</t>
  </si>
  <si>
    <t>22D IN</t>
  </si>
  <si>
    <t>Grady</t>
  </si>
  <si>
    <t>61 In</t>
  </si>
  <si>
    <t>20 OUT</t>
  </si>
  <si>
    <t>Folsom</t>
  </si>
  <si>
    <t>22F IN</t>
  </si>
  <si>
    <t>31 out</t>
  </si>
  <si>
    <t>Grenville</t>
  </si>
  <si>
    <t>22G IN</t>
  </si>
  <si>
    <t>2 Out</t>
  </si>
  <si>
    <t>2AC IN</t>
  </si>
  <si>
    <t>Deming</t>
  </si>
  <si>
    <t>94 OUT</t>
  </si>
  <si>
    <t>22 OUT</t>
  </si>
  <si>
    <t>61 Out</t>
  </si>
  <si>
    <t>Columbus</t>
  </si>
  <si>
    <t>Aztec</t>
  </si>
  <si>
    <t xml:space="preserve">De Baca </t>
  </si>
  <si>
    <t>Fort Sumner</t>
  </si>
  <si>
    <t xml:space="preserve">20 In  </t>
  </si>
  <si>
    <t>Farmington</t>
  </si>
  <si>
    <t>Los Lunas</t>
  </si>
  <si>
    <t>Gallup</t>
  </si>
  <si>
    <t>Bloomfield</t>
  </si>
  <si>
    <t>Bosque Farms</t>
  </si>
  <si>
    <t>Las Cruces</t>
  </si>
  <si>
    <t xml:space="preserve">2 In  </t>
  </si>
  <si>
    <t>Belen</t>
  </si>
  <si>
    <t>Mesilla</t>
  </si>
  <si>
    <t xml:space="preserve">2D In  </t>
  </si>
  <si>
    <t>Zuni</t>
  </si>
  <si>
    <t>Peralta</t>
  </si>
  <si>
    <t>PR IN</t>
  </si>
  <si>
    <t>Sunland Park</t>
  </si>
  <si>
    <t xml:space="preserve">16 In  </t>
  </si>
  <si>
    <t>Wagon Mound</t>
  </si>
  <si>
    <t>Hatch</t>
  </si>
  <si>
    <t xml:space="preserve">11 In  </t>
  </si>
  <si>
    <t xml:space="preserve">2 Out  </t>
  </si>
  <si>
    <t>61/20</t>
  </si>
  <si>
    <t>3LL OUT</t>
  </si>
  <si>
    <t xml:space="preserve">11 Out  </t>
  </si>
  <si>
    <t>12C</t>
  </si>
  <si>
    <t>Las Vegas</t>
  </si>
  <si>
    <t>3BN OUT</t>
  </si>
  <si>
    <t xml:space="preserve">16 Out  </t>
  </si>
  <si>
    <t>1-A</t>
  </si>
  <si>
    <t>Carlsbad</t>
  </si>
  <si>
    <t xml:space="preserve">C In  </t>
  </si>
  <si>
    <t>Alamogordo</t>
  </si>
  <si>
    <t>Pecos</t>
  </si>
  <si>
    <t>21 IN</t>
  </si>
  <si>
    <t>Loving</t>
  </si>
  <si>
    <t xml:space="preserve">10 In  </t>
  </si>
  <si>
    <t>Tularosa</t>
  </si>
  <si>
    <t>4 IN</t>
  </si>
  <si>
    <t>Artesia</t>
  </si>
  <si>
    <t>Cloudcroft</t>
  </si>
  <si>
    <t>11 IN</t>
  </si>
  <si>
    <t>District</t>
  </si>
  <si>
    <t>Table 10</t>
  </si>
  <si>
    <t>Table 11</t>
  </si>
  <si>
    <t>Types</t>
  </si>
  <si>
    <t xml:space="preserve"> All Property</t>
  </si>
  <si>
    <t xml:space="preserve"> Ad Valorem</t>
  </si>
  <si>
    <t>20 In R</t>
  </si>
  <si>
    <t>1 Out R</t>
  </si>
  <si>
    <t>6</t>
  </si>
  <si>
    <t>Source: rate certificate files issued by the New Mexico Department of Finance and Administration's Local Government Division.</t>
  </si>
  <si>
    <t>Imposed</t>
  </si>
  <si>
    <t>Remaining</t>
  </si>
  <si>
    <t>Rate</t>
  </si>
  <si>
    <r>
      <t>Authority</t>
    </r>
    <r>
      <rPr>
        <vertAlign val="superscript"/>
        <sz val="10"/>
        <rFont val="Arial"/>
        <family val="2"/>
      </rPr>
      <t>1</t>
    </r>
  </si>
  <si>
    <t>Table 19</t>
  </si>
  <si>
    <t>Table 20</t>
  </si>
  <si>
    <t>Table 21</t>
  </si>
  <si>
    <t xml:space="preserve">  Total</t>
  </si>
  <si>
    <t>Percent of</t>
  </si>
  <si>
    <t>Rank</t>
  </si>
  <si>
    <t>Values</t>
  </si>
  <si>
    <t>Information Source: New Mexico Department of Finance and Administration rate certificate files.</t>
  </si>
  <si>
    <t xml:space="preserve">  Ad Valorem</t>
  </si>
  <si>
    <t xml:space="preserve">  Ad Valorem:</t>
  </si>
  <si>
    <t xml:space="preserve">  Subtotal</t>
  </si>
  <si>
    <t xml:space="preserve">     Total</t>
  </si>
  <si>
    <r>
      <t xml:space="preserve"> Per Capita Annual Property Tax Obligations</t>
    </r>
    <r>
      <rPr>
        <vertAlign val="superscript"/>
        <sz val="10"/>
        <rFont val="Arial"/>
        <family val="2"/>
      </rPr>
      <t>2</t>
    </r>
  </si>
  <si>
    <t>Within</t>
  </si>
  <si>
    <t>Outside</t>
  </si>
  <si>
    <t>Municipalities</t>
  </si>
  <si>
    <t xml:space="preserve">  Percent of Total Residential</t>
  </si>
  <si>
    <t xml:space="preserve">  Percent of Total Nonresidential</t>
  </si>
  <si>
    <t>Information source: compiled from NM Department of Finance and Administration rate certificate files.</t>
  </si>
  <si>
    <t>Information source: compiled from New Mexico Department of Finance and Administration rate certificate files.</t>
  </si>
  <si>
    <t>Percent Residential</t>
  </si>
  <si>
    <t>Percent Nonresidential</t>
  </si>
  <si>
    <r>
      <t>$1,000 in net taxable value.</t>
    </r>
    <r>
      <rPr>
        <vertAlign val="superscript"/>
        <sz val="10"/>
        <rFont val="Arial"/>
        <family val="2"/>
      </rPr>
      <t xml:space="preserve"> 2</t>
    </r>
    <r>
      <rPr>
        <sz val="10"/>
        <rFont val="Arial"/>
        <family val="2"/>
      </rPr>
      <t>Total obligations/total net taxable value or rate in each jurisdiction</t>
    </r>
  </si>
  <si>
    <t xml:space="preserve">       Total</t>
  </si>
  <si>
    <t xml:space="preserve">Residential  </t>
  </si>
  <si>
    <t xml:space="preserve">    Subtotal</t>
  </si>
  <si>
    <t xml:space="preserve">Subtotal  </t>
  </si>
  <si>
    <t>Property Classification</t>
  </si>
  <si>
    <t>Information source: compiled from DFA rate certificate files.</t>
  </si>
  <si>
    <t xml:space="preserve">Residential   </t>
  </si>
  <si>
    <t xml:space="preserve">Operating </t>
  </si>
  <si>
    <t xml:space="preserve">Imposed  </t>
  </si>
  <si>
    <t>Total Rate Imposition Capacity</t>
  </si>
  <si>
    <t xml:space="preserve"> x 33 =</t>
  </si>
  <si>
    <t>Total Imposed by all counties</t>
  </si>
  <si>
    <t>of operating rate authority is currently being used…</t>
  </si>
  <si>
    <r>
      <t>1</t>
    </r>
    <r>
      <rPr>
        <sz val="10"/>
        <rFont val="Arial"/>
        <family val="2"/>
      </rPr>
      <t>11.85 mill maximum allowed by law less the imposed rate.</t>
    </r>
  </si>
  <si>
    <t xml:space="preserve">  &amp; Equipment</t>
  </si>
  <si>
    <t xml:space="preserve">New Mexico County Operating Rates --  Imposed and </t>
  </si>
  <si>
    <t>State Obligations</t>
  </si>
  <si>
    <t xml:space="preserve">  Debt Service</t>
  </si>
  <si>
    <t xml:space="preserve">  Other</t>
  </si>
  <si>
    <t xml:space="preserve">  Capital Improvement</t>
  </si>
  <si>
    <t xml:space="preserve">  School Building (HB-33)</t>
  </si>
  <si>
    <t>Percent Funding Debt Service</t>
  </si>
  <si>
    <t xml:space="preserve">  Operations</t>
  </si>
  <si>
    <t xml:space="preserve">   </t>
  </si>
  <si>
    <t xml:space="preserve">Non-     </t>
  </si>
  <si>
    <t>County Obligations -- Percent Funding:</t>
  </si>
  <si>
    <t>School District Obligations -- Percent Funding:</t>
  </si>
  <si>
    <t>Municipal Obligations -- Percent Funding:</t>
  </si>
  <si>
    <t xml:space="preserve">  Ad Valorem*</t>
  </si>
  <si>
    <t>*Blank values should be considered zero.</t>
  </si>
  <si>
    <t>Collection</t>
  </si>
  <si>
    <t>Rate*</t>
  </si>
  <si>
    <t xml:space="preserve"> Average</t>
  </si>
  <si>
    <t>Information source: DFA rate certificate files.</t>
  </si>
  <si>
    <t>Property Tax Collection Rate by</t>
  </si>
  <si>
    <t>Table 1</t>
  </si>
  <si>
    <t>Table 2</t>
  </si>
  <si>
    <t>Table 5: Distribution of Net Taxable Value In and Outside of Municipalities</t>
  </si>
  <si>
    <r>
      <t xml:space="preserve">      Rate</t>
    </r>
    <r>
      <rPr>
        <vertAlign val="superscript"/>
        <sz val="10"/>
        <rFont val="Arial"/>
        <family val="2"/>
      </rPr>
      <t xml:space="preserve">          </t>
    </r>
  </si>
  <si>
    <t>Add</t>
  </si>
  <si>
    <t>Per Capita Property Tax Obligations by New Mexico County, 2009 Tax Year</t>
  </si>
  <si>
    <t>Annual Property Tax Obligations ($)</t>
  </si>
  <si>
    <t>Total/Average</t>
  </si>
  <si>
    <t xml:space="preserve">Source: New Mexico Department and Finance and Administration rate certificate files -- all data </t>
  </si>
  <si>
    <t>except population estimates.</t>
  </si>
  <si>
    <t>New Mexico's Bureau of Business and Economic Research: http://bber.unm.edu/demo/copopest.htm.</t>
  </si>
  <si>
    <t>20081</t>
  </si>
  <si>
    <t xml:space="preserve">1Source: New Mexico County Populations from the Census Bureau, published by the University of  </t>
  </si>
  <si>
    <r>
      <t>2</t>
    </r>
    <r>
      <rPr>
        <sz val="10"/>
        <rFont val="Arial"/>
        <family val="2"/>
      </rPr>
      <t xml:space="preserve">Source: New Mexico Department and Finance and Administration rate certificate files -- all data </t>
    </r>
  </si>
  <si>
    <r>
      <t xml:space="preserve">  Ad Valorem:</t>
    </r>
    <r>
      <rPr>
        <vertAlign val="superscript"/>
        <sz val="10"/>
        <rFont val="Arial"/>
        <family val="2"/>
      </rPr>
      <t>3</t>
    </r>
  </si>
  <si>
    <t xml:space="preserve">Percent of County Total </t>
  </si>
  <si>
    <t xml:space="preserve">  Average</t>
  </si>
  <si>
    <t>Source: NM Department of Finance and Administration property tax rate certificate files.</t>
  </si>
  <si>
    <t xml:space="preserve"> Production</t>
  </si>
  <si>
    <r>
      <t>Edgewood</t>
    </r>
    <r>
      <rPr>
        <vertAlign val="superscript"/>
        <sz val="10"/>
        <rFont val="Arial"/>
        <family val="2"/>
      </rPr>
      <t>1</t>
    </r>
  </si>
  <si>
    <r>
      <t>Los Ranchos</t>
    </r>
    <r>
      <rPr>
        <vertAlign val="superscript"/>
        <sz val="10"/>
        <rFont val="Arial"/>
        <family val="2"/>
      </rPr>
      <t>1</t>
    </r>
  </si>
  <si>
    <r>
      <t>Hurley</t>
    </r>
    <r>
      <rPr>
        <vertAlign val="superscript"/>
        <sz val="10"/>
        <rFont val="Arial"/>
        <family val="2"/>
      </rPr>
      <t>2</t>
    </r>
  </si>
  <si>
    <t xml:space="preserve">Information Source: New Mexico Department of Finance and Administration rate certificate files. </t>
  </si>
  <si>
    <t>Table 7: Approximate Property Tax Obligations as a Percent of</t>
  </si>
  <si>
    <t xml:space="preserve">residential    </t>
  </si>
  <si>
    <t>Percent of Statewide Total and Rank</t>
  </si>
  <si>
    <t>Population</t>
  </si>
  <si>
    <t>State Total</t>
  </si>
  <si>
    <t>Figure 2: County Population Estimates: Rank and Percent of State Total</t>
  </si>
  <si>
    <r>
      <t>1</t>
    </r>
    <r>
      <rPr>
        <sz val="10"/>
        <rFont val="Arial"/>
        <family val="2"/>
      </rPr>
      <t>The i</t>
    </r>
    <r>
      <rPr>
        <sz val="10"/>
        <rFont val="Arial"/>
        <family val="2"/>
      </rPr>
      <t>mposed rate less the 7.65 mill maximum rate allowed by New Mexico statutes.</t>
    </r>
  </si>
  <si>
    <t>hence the display table should be corrected to reflect my value</t>
  </si>
  <si>
    <t xml:space="preserve">    Percent</t>
  </si>
  <si>
    <t>Information source: compiled from rate certificate files issued by the NM Department of Finance and Administration.</t>
  </si>
  <si>
    <t xml:space="preserve">  Education Technology</t>
  </si>
  <si>
    <t>should be the difference between the two figures</t>
  </si>
  <si>
    <r>
      <t xml:space="preserve">Information source: calculated from DFA rate certificate files. 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Expressed in mills or $ per </t>
    </r>
  </si>
  <si>
    <t>Information source: calculated from DFA rate certificate files</t>
  </si>
  <si>
    <t xml:space="preserve">  From  previous row</t>
  </si>
  <si>
    <t>Information source: calculated from rate certificate files issued by the New Mexico Department of Finance and Administration.</t>
  </si>
  <si>
    <r>
      <t xml:space="preserve"> 3</t>
    </r>
    <r>
      <rPr>
        <sz val="10"/>
        <rFont val="Arial"/>
        <family val="2"/>
      </rPr>
      <t>Zero figures in the ad valorem columns indicate amounts less than $1.</t>
    </r>
  </si>
  <si>
    <t>&amp; Equipmment</t>
  </si>
  <si>
    <t>Hospital Operating</t>
  </si>
  <si>
    <t>Hospital Debt Service</t>
  </si>
  <si>
    <t>Higher Education Operating</t>
  </si>
  <si>
    <t>Higher Education Debt Service</t>
  </si>
  <si>
    <t>Total Higher Education</t>
  </si>
  <si>
    <t>Total Hospitals</t>
  </si>
  <si>
    <t>Information source: compiled from New Mexico Department of Finance and Administration rate certificate files. Notes: 1) Sums do not necessarily equal totals due to rounding.</t>
  </si>
  <si>
    <t>Higher Education Obligations -- Percent Funding:</t>
  </si>
  <si>
    <t xml:space="preserve">  Operations:</t>
  </si>
  <si>
    <t>Hospital Obligations -- Percent Funding:</t>
  </si>
  <si>
    <t>Table 4: Percentage Distribution -- Uses of Property Tax Obligations by Major</t>
  </si>
  <si>
    <t>Department of Finance and Administration</t>
  </si>
  <si>
    <t xml:space="preserve">Department of Finance and Administration </t>
  </si>
  <si>
    <t xml:space="preserve">   Mean</t>
  </si>
  <si>
    <t xml:space="preserve">   Median</t>
  </si>
  <si>
    <t>Anthony</t>
  </si>
  <si>
    <t>18in</t>
  </si>
  <si>
    <t>Los Ranchos*</t>
  </si>
  <si>
    <t xml:space="preserve">   Average (unweighted)</t>
  </si>
  <si>
    <t>Table 9</t>
  </si>
  <si>
    <t>Table 17</t>
  </si>
  <si>
    <t xml:space="preserve">Equipment </t>
  </si>
  <si>
    <t xml:space="preserve">Production </t>
  </si>
  <si>
    <t>0 - 1 million</t>
  </si>
  <si>
    <t>1+ - 10 million</t>
  </si>
  <si>
    <t>11+ - 100 mill</t>
  </si>
  <si>
    <t>100+ mill - 1 bill</t>
  </si>
  <si>
    <t>100+ mill - 1 bill+</t>
  </si>
  <si>
    <t xml:space="preserve">subtotal </t>
  </si>
  <si>
    <t>SubTotal</t>
  </si>
  <si>
    <t>Total Communties</t>
  </si>
  <si>
    <t>Muni Debt</t>
  </si>
  <si>
    <t xml:space="preserve">2013 Property Tax </t>
  </si>
  <si>
    <t>Rio Communities</t>
  </si>
  <si>
    <t>1RC IN</t>
  </si>
  <si>
    <t xml:space="preserve">Rank </t>
  </si>
  <si>
    <t xml:space="preserve">State Total </t>
  </si>
  <si>
    <t xml:space="preserve">Source: State of New Mexico, TRD Information Technology Division </t>
  </si>
  <si>
    <t>All Rates Imposed</t>
  </si>
  <si>
    <t>All Possible Rates if all 7.65 mill are imposed</t>
  </si>
  <si>
    <t>Percent of all Rates imposed</t>
  </si>
  <si>
    <t>TOTAL</t>
  </si>
  <si>
    <r>
      <t>Figure 1:  County Population Estimates*</t>
    </r>
    <r>
      <rPr>
        <b/>
        <sz val="10"/>
        <rFont val="Arial"/>
        <family val="2"/>
      </rPr>
      <t>:  Rank and Percent of State Total</t>
    </r>
  </si>
  <si>
    <t>Figure 2: Rate Location Map</t>
  </si>
  <si>
    <r>
      <t>1</t>
    </r>
    <r>
      <rPr>
        <sz val="12"/>
        <rFont val="Arial"/>
        <family val="2"/>
      </rPr>
      <t>Obligations are the product of rates and net taxable value, or revenues assuming 100% collection. These are total property tax obligations of property tax owners within the county for all property tax recipients -- school districts, municipalities, counties and other jurisdictions within the county.</t>
    </r>
  </si>
  <si>
    <t>Note: The Percentages listed on Table 4 were calculated from corresponding amounts in Table 3.</t>
  </si>
  <si>
    <t xml:space="preserve">weighted by net taxable value in the jurisdiction. </t>
  </si>
  <si>
    <r>
      <t>1</t>
    </r>
    <r>
      <rPr>
        <sz val="10"/>
        <rFont val="Arial"/>
        <family val="2"/>
      </rPr>
      <t xml:space="preserve">Obligations divided by net taxable value multiplied by 3; does not account for property tax </t>
    </r>
  </si>
  <si>
    <t>exemptions because data on them is not currently available.</t>
  </si>
  <si>
    <t>and equipment taxes average close to 100%.</t>
  </si>
  <si>
    <t>Rio Communites</t>
  </si>
  <si>
    <t xml:space="preserve"> NOTE FOR 2014 DO NOT UPDATE HERE - INSTEAD USE OFFICIAL DOC FROM TAX AND REV</t>
  </si>
  <si>
    <r>
      <t>Property Tax Obligations</t>
    </r>
    <r>
      <rPr>
        <b/>
        <vertAlign val="superscript"/>
        <sz val="16"/>
        <rFont val="Arial"/>
        <family val="2"/>
      </rPr>
      <t xml:space="preserve">1 </t>
    </r>
    <r>
      <rPr>
        <b/>
        <sz val="16"/>
        <rFont val="Arial"/>
        <family val="2"/>
      </rPr>
      <t>by New Mexico County</t>
    </r>
  </si>
  <si>
    <t>Net Taxable Value for Property Tax Purposes by New Mexico County</t>
  </si>
  <si>
    <t>Table 3: Distribution of New Mexico Property Tax Obligations by Recipient</t>
  </si>
  <si>
    <t>Recipients</t>
  </si>
  <si>
    <t>Conservancy Districts*</t>
  </si>
  <si>
    <t>*Some conservancy district obligations are not included above because their rates apply to other measurements (e.g., water consumed) rather than net taxable value.</t>
  </si>
  <si>
    <t>Totals</t>
  </si>
  <si>
    <t>For Chart:</t>
  </si>
  <si>
    <r>
      <t>Table 6: Weighted Average Property Tax Rates by County in Mills</t>
    </r>
    <r>
      <rPr>
        <b/>
        <vertAlign val="superscript"/>
        <sz val="12"/>
        <rFont val="Arial"/>
        <family val="2"/>
      </rPr>
      <t>1,2</t>
    </r>
  </si>
  <si>
    <r>
      <t>Assessed Value by County</t>
    </r>
    <r>
      <rPr>
        <b/>
        <vertAlign val="superscript"/>
        <sz val="12"/>
        <rFont val="Arial"/>
        <family val="2"/>
      </rPr>
      <t>1</t>
    </r>
  </si>
  <si>
    <t>out of 33 or</t>
  </si>
  <si>
    <t>of counties have no remaining authority.</t>
  </si>
  <si>
    <t>Average remaining authority</t>
  </si>
  <si>
    <t>Property Tax Facts</t>
  </si>
  <si>
    <t>Per Capita Property Tax Obligations by New Mexico County</t>
  </si>
  <si>
    <t>*3-year average collection rate as reported by County Treasurers.</t>
  </si>
  <si>
    <t>Applicable to traditional residential and non-residential</t>
  </si>
  <si>
    <t xml:space="preserve">properties.  Collection rates on ad valorem production </t>
  </si>
  <si>
    <t>Table 11: Net Taxable Value by New Mexico County</t>
  </si>
  <si>
    <t>Table 12: Property Tax Obligations by New Mexico County</t>
  </si>
  <si>
    <t>Table 13: Net Taxable Value by New Mexico County</t>
  </si>
  <si>
    <t>Table 14: Property Tax Obligations by New Mexico County</t>
  </si>
  <si>
    <t>Table 15: Obligations for County Operating Purposes, by County</t>
  </si>
  <si>
    <t>Table 16: Obligations for County Debt Service Purposes, by County</t>
  </si>
  <si>
    <t>Property Tax Rates by Location</t>
  </si>
  <si>
    <t>Res</t>
  </si>
  <si>
    <t>Non-Res:</t>
  </si>
  <si>
    <t>Property Tax Rates by Location (Continued)</t>
  </si>
  <si>
    <t>Municipal Operating Rates Imposed and Remaining Authority</t>
  </si>
  <si>
    <t>*The municipality did not impose an operating rate for this tax year.</t>
  </si>
  <si>
    <t>Remaining Authority in Mills</t>
  </si>
  <si>
    <t>Net Taxable Value by Municipality</t>
  </si>
  <si>
    <t>Count:</t>
  </si>
  <si>
    <t>Net Taxable Value by Municipality (Continued)</t>
  </si>
  <si>
    <t>Net Taxable Value</t>
  </si>
  <si>
    <t>Muni Net Taxable Value</t>
  </si>
  <si>
    <t xml:space="preserve">As % of total Taxable Value </t>
  </si>
  <si>
    <t>Obligations for Municipal Operating Purposes by Municipality</t>
  </si>
  <si>
    <r>
      <t>*</t>
    </r>
    <r>
      <rPr>
        <sz val="10"/>
        <rFont val="Arial"/>
        <family val="2"/>
      </rPr>
      <t>Municipality is not imposing an operating rate for this tax year.</t>
    </r>
    <r>
      <rPr>
        <vertAlign val="superscript"/>
        <sz val="10"/>
        <rFont val="Arial"/>
        <family val="2"/>
      </rPr>
      <t xml:space="preserve"> 1</t>
    </r>
    <r>
      <rPr>
        <sz val="10"/>
        <rFont val="Arial"/>
        <family val="2"/>
      </rPr>
      <t>The extreme difference between residential and nonresidential obligations in Hurley results from very small nonresidential tax rates and net taxable value relative to residential rates and values.</t>
    </r>
  </si>
  <si>
    <t>Obligations for Municipal Operating Purposes by Municipality (Continued)</t>
  </si>
  <si>
    <r>
      <t>*</t>
    </r>
    <r>
      <rPr>
        <sz val="10"/>
        <rFont val="Arial"/>
        <family val="2"/>
      </rPr>
      <t>Municipality is not imposing an operating rate for this tax year.</t>
    </r>
  </si>
  <si>
    <t>Table 22: Obligations for Municipal Debt Service Purposes</t>
  </si>
  <si>
    <t>Total Obligations</t>
  </si>
  <si>
    <t xml:space="preserve">  Percent of Total</t>
  </si>
  <si>
    <t>Per Capita Basis:</t>
  </si>
  <si>
    <t>Co &amp; Muni Oper %</t>
  </si>
  <si>
    <t>Total Debt %</t>
  </si>
  <si>
    <t>Note: without Corrales 2A In &amp; Rio Rancho R1-A (both in  Bernalillo County)</t>
  </si>
  <si>
    <t>Kirtland</t>
  </si>
  <si>
    <t>22 IN</t>
  </si>
  <si>
    <t>1-BF IN</t>
  </si>
  <si>
    <t>New Mexico's 106 Municipalities: Their Associated Counties</t>
  </si>
  <si>
    <t>Kirtland*</t>
  </si>
  <si>
    <t>Population / 4 largest counties</t>
  </si>
  <si>
    <t>(A)</t>
  </si>
  <si>
    <t>(B)</t>
  </si>
  <si>
    <t>(B) / (A)</t>
  </si>
  <si>
    <t>Ratio of Residential to Total Debt</t>
  </si>
  <si>
    <t>(unincorporated)</t>
  </si>
  <si>
    <t>8T-A IN</t>
  </si>
  <si>
    <r>
      <t>2</t>
    </r>
    <r>
      <rPr>
        <sz val="10"/>
        <rFont val="Arial"/>
        <family val="2"/>
      </rPr>
      <t>A portion of Espanola containing roughly 25% of its net taxable value is in Santa Fe County.</t>
    </r>
  </si>
  <si>
    <r>
      <t>3</t>
    </r>
    <r>
      <rPr>
        <sz val="10"/>
        <rFont val="Arial"/>
        <family val="2"/>
      </rPr>
      <t>A small portion -- less than 1% of Rio Rancho's net taxable value -- is in Bernalillo County.</t>
    </r>
  </si>
  <si>
    <t>***remove any duplicates found in other columns or if a row is blank copy formula from nearest cell that contains a formula for the applicable column***</t>
  </si>
  <si>
    <t xml:space="preserve">% of Muni Debt Obliations To Total Obligations </t>
  </si>
  <si>
    <t>except population.</t>
  </si>
  <si>
    <t>Production*</t>
  </si>
  <si>
    <t>*Negative ad valorem production value is a result of taxpayer amended report.</t>
  </si>
  <si>
    <t xml:space="preserve">2. Copy Column AB &amp; AC to AE &amp; AF and paste as values </t>
  </si>
  <si>
    <t xml:space="preserve">3. Sort AE &amp; AF by largest to smallest based on values in column AF. </t>
  </si>
  <si>
    <r>
      <t>1</t>
    </r>
    <r>
      <rPr>
        <sz val="10"/>
        <rFont val="Arial"/>
        <family val="2"/>
      </rPr>
      <t>Portions of Edgewood are in Bernalillo &amp; Sandoval Counties (1.1% Town's net taxable value).</t>
    </r>
  </si>
  <si>
    <t>Note:  This table contains formulas in each cell derived from this workbook. **Do Not Override**.</t>
  </si>
  <si>
    <t>https://www.census.gov/data/tables/time-series/demo/popest/2020s-counties-total.html</t>
  </si>
  <si>
    <t>Note: All tables on this page contain formulas in each cell derived from this workbook. **Do Not Override**.</t>
  </si>
  <si>
    <t>Update estimated population amounts (blue font) using data from link in Cell B45. Also update year in Cells C9 and B44 (blue font).</t>
  </si>
  <si>
    <t>Update collection rates from the "County Treasurers 3 Yr Ave Collection Report" spreadsheet compiled for the tax year being published.</t>
  </si>
  <si>
    <t>Truth or Consequences</t>
  </si>
  <si>
    <t>28 RU IN</t>
  </si>
  <si>
    <t>Corrales (annexation)</t>
  </si>
  <si>
    <t>55 IN</t>
  </si>
  <si>
    <t>55 OUT</t>
  </si>
  <si>
    <t>1. Copy "total" from Column D from both "Table 20 part 1" and "Table 20 part 2" for each municipality and paste as values.</t>
  </si>
  <si>
    <t>***IMPORTANT: AFTER COMPLETING "Table 20 Part 2" follow the steps below***</t>
  </si>
  <si>
    <t>% of Residential Taxes / 4 largest counties</t>
  </si>
  <si>
    <t>Part 1 Min Rates:</t>
  </si>
  <si>
    <t>Part 2 Min Rates:</t>
  </si>
  <si>
    <t>LOWEST OF "Part 1 Min" versus Part 2 Min"</t>
  </si>
  <si>
    <t>Part 1 Max Rates:</t>
  </si>
  <si>
    <t>Part 2 Max Rates:</t>
  </si>
  <si>
    <t>HIGHEST OF "Part 1 Max" versus Part 2 Max"</t>
  </si>
  <si>
    <t>Prod. &amp; Equipt.</t>
  </si>
  <si>
    <t>2025 Tax Year</t>
  </si>
  <si>
    <t xml:space="preserve"> </t>
  </si>
  <si>
    <t>Note:  This table contains formulas in each cell derived from data within this workbook.  There is no Table #4 generated from the Property Tax Module exported data. Do Not Override Formulas. Manual rounding might be required to get to 100.0 as applicable.</t>
  </si>
  <si>
    <t>Note: Only Grant County has Copper Production (reported as Ad Valorem production).</t>
  </si>
  <si>
    <r>
      <t>2025</t>
    </r>
    <r>
      <rPr>
        <vertAlign val="superscript"/>
        <sz val="10"/>
        <color rgb="FF0000CC"/>
        <rFont val="Arial"/>
        <family val="2"/>
      </rPr>
      <t>1</t>
    </r>
  </si>
  <si>
    <r>
      <t>1</t>
    </r>
    <r>
      <rPr>
        <sz val="10"/>
        <rFont val="Arial"/>
        <family val="2"/>
      </rPr>
      <t xml:space="preserve">Source: New Mexico Population Estimates for Counties from US Census Bureau as of </t>
    </r>
    <r>
      <rPr>
        <sz val="10"/>
        <color rgb="FF0000CC"/>
        <rFont val="Arial"/>
        <family val="2"/>
      </rPr>
      <t>July 1, 2025</t>
    </r>
  </si>
  <si>
    <t>(NOTE: These 3 counties are sorted differently on the US Census Bureau's population report: Sandoval, San Juan, and San Miguel, so use caution when copying data.)</t>
  </si>
  <si>
    <t>Highest Residential %:</t>
  </si>
  <si>
    <t>Lowest Residential %:</t>
  </si>
  <si>
    <t>Referenced in narrative for Tables 13 and 14:</t>
  </si>
  <si>
    <t>Figure 1 gets copied into textbox in Narrative for Tables 11 and 12:</t>
  </si>
  <si>
    <t>Referenced in narrative for Tables 11 and 12:</t>
  </si>
  <si>
    <t>#2 Ad Valorem %:</t>
  </si>
  <si>
    <t>#1 Ad Valorem %:</t>
  </si>
  <si>
    <t>Referenced in narrative for Tables 15 and 16:</t>
  </si>
  <si>
    <t>Rounded down to nearest dollar:</t>
  </si>
  <si>
    <t>Highest Operating Obligations:</t>
  </si>
  <si>
    <t>Lowest Operating Obligations:</t>
  </si>
  <si>
    <t>Rounded to nearest thousand:</t>
  </si>
  <si>
    <t>Rounded to nearest million:</t>
  </si>
  <si>
    <t>Calculation:</t>
  </si>
  <si>
    <t>Number of Counties imposing debt:</t>
  </si>
  <si>
    <t>#1 Debt Obligation:</t>
  </si>
  <si>
    <t>#2 Debt Obligation:</t>
  </si>
  <si>
    <t>Calculation of "Part 1" maximum and minimum</t>
  </si>
  <si>
    <t>Calculation of "Part 2" maximum and minimum</t>
  </si>
  <si>
    <t>Chaves 27/28</t>
  </si>
  <si>
    <t>Chaves 28</t>
  </si>
  <si>
    <t>San Miguel 21 OUT</t>
  </si>
  <si>
    <t>Roosevelt 5 OUT</t>
  </si>
  <si>
    <t>Roosevelt 2 OUT</t>
  </si>
  <si>
    <t>Referenced in narrative for Table 17: [NOTE: Row 12  contains formulas that should NOT be overwritten.]</t>
  </si>
  <si>
    <t>Rounded to nearest billion:</t>
  </si>
  <si>
    <t>Referenced in narrative for Table 20:</t>
  </si>
  <si>
    <t>Referenced in narrative for Table 19:</t>
  </si>
  <si>
    <r>
      <t>Total (</t>
    </r>
    <r>
      <rPr>
        <b/>
        <sz val="10"/>
        <rFont val="Arial"/>
        <family val="2"/>
      </rPr>
      <t>with</t>
    </r>
    <r>
      <rPr>
        <sz val="10"/>
        <rFont val="Arial"/>
        <family val="2"/>
      </rPr>
      <t xml:space="preserve"> Los Alamos):</t>
    </r>
  </si>
  <si>
    <r>
      <t>Total</t>
    </r>
    <r>
      <rPr>
        <b/>
        <sz val="10"/>
        <rFont val="Arial"/>
        <family val="2"/>
      </rPr>
      <t xml:space="preserve"> without</t>
    </r>
    <r>
      <rPr>
        <sz val="10"/>
        <rFont val="Arial"/>
        <family val="2"/>
      </rPr>
      <t xml:space="preserve"> Los Alamos:</t>
    </r>
  </si>
  <si>
    <t>% is referenced in narrative for Table 20:</t>
  </si>
  <si>
    <t>Highest NTV for Municipality:</t>
  </si>
  <si>
    <t>Lowest NTV for Municipality:</t>
  </si>
  <si>
    <t>Referenced in narrative for Tables 21 and 22:</t>
  </si>
  <si>
    <t>Total all municipalities (rounded to nearest million):</t>
  </si>
  <si>
    <t>#1 Muni operating revenue is Albuquerque (rounded to nearest million):</t>
  </si>
  <si>
    <t>#1 Muni operating revenue is Rio Rancho (rounded to nearest million):</t>
  </si>
  <si>
    <t>Number of Municipalities imposing debt:</t>
  </si>
  <si>
    <t>Column D</t>
  </si>
  <si>
    <t>Column J</t>
  </si>
  <si>
    <t>Total Count:</t>
  </si>
  <si>
    <t>Total Count referenced in narrative for Tables 21 and 22:</t>
  </si>
  <si>
    <t>Rounded:</t>
  </si>
  <si>
    <t>Total Remaining Authority for Verification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</si>
</sst>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5" formatCode="&quot;$&quot;#,##0_);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\$#,##0"/>
    <numFmt numFmtId="165" formatCode="#,##0.0_);\(#,##0.0\)"/>
    <numFmt numFmtId="166" formatCode="\$#,##0.0"/>
    <numFmt numFmtId="167" formatCode="0.000"/>
    <numFmt numFmtId="168" formatCode="\$#,##0_);&quot;($&quot;#,##0\)"/>
    <numFmt numFmtId="169" formatCode="_(* #,##0_);_(* \(#,##0\);_(* \-??_);_(@_)"/>
    <numFmt numFmtId="170" formatCode="#,##0.0"/>
    <numFmt numFmtId="171" formatCode="&quot;$&quot;#,##0"/>
    <numFmt numFmtId="172" formatCode="#,##0.000"/>
    <numFmt numFmtId="173" formatCode="#,##0.000_);\(#,##0.000\)"/>
    <numFmt numFmtId="174" formatCode="_(* #,##0_);_(* \(#,##0\);_(* &quot;-&quot;??_);_(@_)"/>
    <numFmt numFmtId="175" formatCode="0.0"/>
    <numFmt numFmtId="176" formatCode="0.0%"/>
    <numFmt numFmtId="177" formatCode="#,##0.0000"/>
    <numFmt numFmtId="178" formatCode="_(* #,##0.0000_);_(* \(#,##0.0000\);_(* &quot;-&quot;??_);_(@_)"/>
    <numFmt numFmtId="179" formatCode="\$#,##0.00000"/>
    <numFmt numFmtId="180" formatCode="&quot;$&quot;#,##0.00"/>
    <numFmt numFmtId="181" formatCode="_(* #,##0.000_);_(* \(#,##0.000\);_(* &quot;-&quot;??_);_(@_)"/>
    <numFmt numFmtId="182" formatCode="&quot;$&quot;#,##0.0"/>
  </numFmts>
  <fonts count="76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vertAlign val="superscript"/>
      <sz val="10"/>
      <name val="Arial"/>
      <family val="2"/>
    </font>
    <font>
      <b/>
      <vertAlign val="superscript"/>
      <sz val="12"/>
      <name val="Arial"/>
      <family val="2"/>
    </font>
    <font>
      <b/>
      <sz val="1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Courier"/>
      <family val="3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3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vertAlign val="superscript"/>
      <sz val="16"/>
      <name val="Arial"/>
      <family val="2"/>
    </font>
    <font>
      <vertAlign val="superscript"/>
      <sz val="12"/>
      <name val="Arial"/>
      <family val="2"/>
    </font>
    <font>
      <sz val="8"/>
      <name val="Arial"/>
      <family val="2"/>
    </font>
    <font>
      <sz val="4"/>
      <name val="Arial"/>
      <family val="2"/>
    </font>
    <font>
      <sz val="11"/>
      <color indexed="8"/>
      <name val="Arial"/>
      <family val="2"/>
    </font>
    <font>
      <sz val="11"/>
      <color indexed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6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rgb="FFFF0000"/>
      <name val="Arial"/>
      <family val="2"/>
    </font>
    <font>
      <b/>
      <sz val="12"/>
      <color rgb="FFFF0000"/>
      <name val="Arial"/>
      <family val="2"/>
    </font>
    <font>
      <sz val="10"/>
      <name val="Arial"/>
      <family val="2"/>
    </font>
    <font>
      <b/>
      <i/>
      <sz val="12"/>
      <name val="Arial"/>
      <family val="2"/>
    </font>
    <font>
      <u/>
      <sz val="10"/>
      <color indexed="12"/>
      <name val="Arial"/>
      <family val="2"/>
    </font>
    <font>
      <sz val="10"/>
      <color rgb="FFFF0000"/>
      <name val="Arial"/>
      <family val="2"/>
    </font>
    <font>
      <sz val="10"/>
      <color rgb="FF0000CC"/>
      <name val="Arial"/>
      <family val="2"/>
    </font>
    <font>
      <vertAlign val="superscript"/>
      <sz val="10"/>
      <color rgb="FF0000CC"/>
      <name val="Arial"/>
      <family val="2"/>
    </font>
    <font>
      <b/>
      <sz val="16"/>
      <color rgb="FF0000CC"/>
      <name val="Arial"/>
      <family val="2"/>
    </font>
    <font>
      <sz val="10"/>
      <color rgb="FF0000FF"/>
      <name val="Arial"/>
      <family val="2"/>
    </font>
    <font>
      <b/>
      <sz val="10"/>
      <color rgb="FF0000FF"/>
      <name val="Arial"/>
      <family val="2"/>
    </font>
    <font>
      <vertAlign val="superscript"/>
      <sz val="14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0"/>
      <name val="Arial"/>
      <family val="2"/>
    </font>
  </fonts>
  <fills count="6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3F3F5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7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0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3" borderId="0" applyNumberFormat="0" applyBorder="0" applyAlignment="0" applyProtection="0"/>
    <xf numFmtId="0" fontId="16" fillId="20" borderId="1" applyNumberFormat="0" applyAlignment="0" applyProtection="0"/>
    <xf numFmtId="0" fontId="17" fillId="21" borderId="2" applyNumberFormat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23" fillId="7" borderId="1" applyNumberFormat="0" applyAlignment="0" applyProtection="0"/>
    <xf numFmtId="0" fontId="24" fillId="0" borderId="6" applyNumberFormat="0" applyFill="0" applyAlignment="0" applyProtection="0"/>
    <xf numFmtId="0" fontId="25" fillId="22" borderId="0" applyNumberFormat="0" applyBorder="0" applyAlignment="0" applyProtection="0"/>
    <xf numFmtId="0" fontId="26" fillId="23" borderId="7" applyNumberFormat="0" applyFont="0" applyAlignment="0" applyProtection="0"/>
    <xf numFmtId="0" fontId="27" fillId="20" borderId="8" applyNumberFormat="0" applyAlignment="0" applyProtection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1" fillId="0" borderId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45" fillId="41" borderId="0" applyNumberFormat="0" applyBorder="0" applyAlignment="0" applyProtection="0"/>
    <xf numFmtId="0" fontId="45" fillId="42" borderId="0" applyNumberFormat="0" applyBorder="0" applyAlignment="0" applyProtection="0"/>
    <xf numFmtId="0" fontId="45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5" borderId="0" applyNumberFormat="0" applyBorder="0" applyAlignment="0" applyProtection="0"/>
    <xf numFmtId="0" fontId="45" fillId="46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52" borderId="0" applyNumberFormat="0" applyBorder="0" applyAlignment="0" applyProtection="0"/>
    <xf numFmtId="0" fontId="46" fillId="53" borderId="0" applyNumberFormat="0" applyBorder="0" applyAlignment="0" applyProtection="0"/>
    <xf numFmtId="0" fontId="47" fillId="54" borderId="29" applyNumberFormat="0" applyAlignment="0" applyProtection="0"/>
    <xf numFmtId="0" fontId="48" fillId="55" borderId="30" applyNumberFormat="0" applyAlignment="0" applyProtection="0"/>
    <xf numFmtId="0" fontId="49" fillId="0" borderId="0" applyNumberFormat="0" applyFill="0" applyBorder="0" applyAlignment="0" applyProtection="0"/>
    <xf numFmtId="0" fontId="50" fillId="56" borderId="0" applyNumberFormat="0" applyBorder="0" applyAlignment="0" applyProtection="0"/>
    <xf numFmtId="0" fontId="51" fillId="0" borderId="31" applyNumberFormat="0" applyFill="0" applyAlignment="0" applyProtection="0"/>
    <xf numFmtId="0" fontId="52" fillId="0" borderId="32" applyNumberFormat="0" applyFill="0" applyAlignment="0" applyProtection="0"/>
    <xf numFmtId="0" fontId="53" fillId="0" borderId="33" applyNumberFormat="0" applyFill="0" applyAlignment="0" applyProtection="0"/>
    <xf numFmtId="0" fontId="53" fillId="0" borderId="0" applyNumberFormat="0" applyFill="0" applyBorder="0" applyAlignment="0" applyProtection="0"/>
    <xf numFmtId="0" fontId="54" fillId="57" borderId="29" applyNumberFormat="0" applyAlignment="0" applyProtection="0"/>
    <xf numFmtId="0" fontId="55" fillId="0" borderId="34" applyNumberFormat="0" applyFill="0" applyAlignment="0" applyProtection="0"/>
    <xf numFmtId="0" fontId="56" fillId="58" borderId="0" applyNumberFormat="0" applyBorder="0" applyAlignment="0" applyProtection="0"/>
    <xf numFmtId="0" fontId="1" fillId="59" borderId="35" applyNumberFormat="0" applyFont="0" applyAlignment="0" applyProtection="0"/>
    <xf numFmtId="0" fontId="57" fillId="54" borderId="36" applyNumberFormat="0" applyAlignment="0" applyProtection="0"/>
    <xf numFmtId="0" fontId="58" fillId="0" borderId="0" applyNumberFormat="0" applyFill="0" applyBorder="0" applyAlignment="0" applyProtection="0"/>
    <xf numFmtId="0" fontId="59" fillId="0" borderId="37" applyNumberFormat="0" applyFill="0" applyAlignment="0" applyProtection="0"/>
    <xf numFmtId="0" fontId="60" fillId="0" borderId="0" applyNumberFormat="0" applyFill="0" applyBorder="0" applyAlignment="0" applyProtection="0"/>
    <xf numFmtId="9" fontId="63" fillId="0" borderId="0" applyFont="0" applyFill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</cellStyleXfs>
  <cellXfs count="653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/>
    <xf numFmtId="0" fontId="3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24" borderId="0" xfId="0" applyFont="1" applyFill="1"/>
    <xf numFmtId="166" fontId="7" fillId="0" borderId="0" xfId="0" applyNumberFormat="1" applyFont="1"/>
    <xf numFmtId="166" fontId="6" fillId="0" borderId="0" xfId="0" applyNumberFormat="1" applyFont="1"/>
    <xf numFmtId="0" fontId="6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24" borderId="0" xfId="0" applyFont="1" applyFill="1"/>
    <xf numFmtId="37" fontId="4" fillId="0" borderId="0" xfId="0" applyNumberFormat="1" applyFont="1"/>
    <xf numFmtId="3" fontId="6" fillId="0" borderId="0" xfId="0" applyNumberFormat="1" applyFont="1"/>
    <xf numFmtId="167" fontId="9" fillId="0" borderId="0" xfId="0" applyNumberFormat="1" applyFont="1"/>
    <xf numFmtId="0" fontId="6" fillId="0" borderId="0" xfId="0" applyFont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3" fontId="4" fillId="0" borderId="0" xfId="0" applyNumberFormat="1" applyFont="1"/>
    <xf numFmtId="37" fontId="6" fillId="0" borderId="0" xfId="0" applyNumberFormat="1" applyFont="1"/>
    <xf numFmtId="0" fontId="6" fillId="0" borderId="11" xfId="0" applyFont="1" applyBorder="1" applyAlignment="1">
      <alignment horizontal="right"/>
    </xf>
    <xf numFmtId="0" fontId="6" fillId="0" borderId="12" xfId="0" applyFont="1" applyBorder="1" applyAlignment="1">
      <alignment horizontal="right"/>
    </xf>
    <xf numFmtId="0" fontId="8" fillId="0" borderId="0" xfId="0" applyFont="1"/>
    <xf numFmtId="49" fontId="6" fillId="0" borderId="11" xfId="0" applyNumberFormat="1" applyFont="1" applyBorder="1" applyAlignment="1">
      <alignment horizontal="center"/>
    </xf>
    <xf numFmtId="168" fontId="6" fillId="0" borderId="13" xfId="0" applyNumberFormat="1" applyFont="1" applyBorder="1" applyAlignment="1">
      <alignment horizontal="center"/>
    </xf>
    <xf numFmtId="169" fontId="6" fillId="0" borderId="0" xfId="28" applyNumberFormat="1" applyFont="1" applyFill="1" applyBorder="1" applyAlignment="1" applyProtection="1">
      <alignment horizontal="right"/>
    </xf>
    <xf numFmtId="164" fontId="6" fillId="0" borderId="14" xfId="28" applyNumberFormat="1" applyFont="1" applyFill="1" applyBorder="1" applyAlignment="1" applyProtection="1"/>
    <xf numFmtId="164" fontId="6" fillId="0" borderId="0" xfId="28" applyNumberFormat="1" applyFont="1" applyFill="1" applyBorder="1" applyAlignment="1" applyProtection="1"/>
    <xf numFmtId="169" fontId="6" fillId="24" borderId="0" xfId="28" applyNumberFormat="1" applyFont="1" applyFill="1" applyBorder="1" applyAlignment="1" applyProtection="1"/>
    <xf numFmtId="164" fontId="6" fillId="24" borderId="14" xfId="28" applyNumberFormat="1" applyFont="1" applyFill="1" applyBorder="1" applyAlignment="1" applyProtection="1"/>
    <xf numFmtId="164" fontId="6" fillId="24" borderId="0" xfId="28" applyNumberFormat="1" applyFont="1" applyFill="1" applyBorder="1" applyAlignment="1" applyProtection="1"/>
    <xf numFmtId="169" fontId="6" fillId="0" borderId="0" xfId="28" applyNumberFormat="1" applyFont="1" applyFill="1" applyBorder="1" applyAlignment="1" applyProtection="1"/>
    <xf numFmtId="164" fontId="6" fillId="0" borderId="10" xfId="28" applyNumberFormat="1" applyFont="1" applyFill="1" applyBorder="1" applyAlignment="1" applyProtection="1"/>
    <xf numFmtId="3" fontId="6" fillId="0" borderId="11" xfId="0" applyNumberFormat="1" applyFont="1" applyBorder="1" applyAlignment="1">
      <alignment horizontal="right"/>
    </xf>
    <xf numFmtId="164" fontId="6" fillId="0" borderId="12" xfId="28" applyNumberFormat="1" applyFont="1" applyFill="1" applyBorder="1" applyAlignment="1" applyProtection="1"/>
    <xf numFmtId="164" fontId="6" fillId="0" borderId="11" xfId="28" applyNumberFormat="1" applyFont="1" applyFill="1" applyBorder="1" applyAlignment="1" applyProtection="1"/>
    <xf numFmtId="0" fontId="6" fillId="0" borderId="10" xfId="0" applyFont="1" applyBorder="1" applyAlignment="1">
      <alignment horizontal="left"/>
    </xf>
    <xf numFmtId="164" fontId="6" fillId="24" borderId="10" xfId="28" applyNumberFormat="1" applyFont="1" applyFill="1" applyBorder="1" applyAlignment="1" applyProtection="1"/>
    <xf numFmtId="0" fontId="0" fillId="0" borderId="0" xfId="0" applyAlignment="1">
      <alignment horizontal="center"/>
    </xf>
    <xf numFmtId="0" fontId="0" fillId="0" borderId="11" xfId="0" applyBorder="1"/>
    <xf numFmtId="171" fontId="0" fillId="0" borderId="0" xfId="0" applyNumberFormat="1"/>
    <xf numFmtId="0" fontId="0" fillId="0" borderId="15" xfId="0" applyBorder="1"/>
    <xf numFmtId="0" fontId="0" fillId="0" borderId="0" xfId="0" applyAlignment="1">
      <alignment horizontal="left"/>
    </xf>
    <xf numFmtId="0" fontId="6" fillId="0" borderId="15" xfId="0" applyFont="1" applyBorder="1"/>
    <xf numFmtId="0" fontId="0" fillId="24" borderId="0" xfId="0" applyFill="1"/>
    <xf numFmtId="171" fontId="0" fillId="24" borderId="0" xfId="0" applyNumberFormat="1" applyFill="1"/>
    <xf numFmtId="0" fontId="0" fillId="24" borderId="0" xfId="0" applyFill="1" applyAlignment="1">
      <alignment horizontal="left"/>
    </xf>
    <xf numFmtId="172" fontId="6" fillId="0" borderId="0" xfId="0" applyNumberFormat="1" applyFont="1"/>
    <xf numFmtId="0" fontId="0" fillId="24" borderId="0" xfId="0" quotePrefix="1" applyFill="1" applyAlignment="1">
      <alignment horizontal="left"/>
    </xf>
    <xf numFmtId="0" fontId="0" fillId="24" borderId="15" xfId="0" applyFill="1" applyBorder="1"/>
    <xf numFmtId="167" fontId="0" fillId="24" borderId="15" xfId="0" applyNumberFormat="1" applyFill="1" applyBorder="1"/>
    <xf numFmtId="167" fontId="0" fillId="0" borderId="15" xfId="0" applyNumberFormat="1" applyBorder="1"/>
    <xf numFmtId="0" fontId="6" fillId="0" borderId="0" xfId="0" applyFont="1" applyAlignment="1">
      <alignment horizontal="left"/>
    </xf>
    <xf numFmtId="171" fontId="0" fillId="24" borderId="16" xfId="0" applyNumberFormat="1" applyFill="1" applyBorder="1"/>
    <xf numFmtId="0" fontId="0" fillId="0" borderId="17" xfId="0" applyBorder="1"/>
    <xf numFmtId="0" fontId="0" fillId="0" borderId="11" xfId="0" applyBorder="1" applyAlignment="1">
      <alignment horizontal="left"/>
    </xf>
    <xf numFmtId="172" fontId="6" fillId="24" borderId="10" xfId="0" applyNumberFormat="1" applyFont="1" applyFill="1" applyBorder="1" applyAlignment="1">
      <alignment horizontal="center"/>
    </xf>
    <xf numFmtId="172" fontId="6" fillId="24" borderId="0" xfId="0" applyNumberFormat="1" applyFont="1" applyFill="1" applyAlignment="1">
      <alignment horizontal="center"/>
    </xf>
    <xf numFmtId="0" fontId="10" fillId="0" borderId="0" xfId="0" applyFont="1"/>
    <xf numFmtId="0" fontId="0" fillId="0" borderId="11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24" borderId="11" xfId="0" applyFill="1" applyBorder="1"/>
    <xf numFmtId="0" fontId="0" fillId="24" borderId="17" xfId="0" applyFill="1" applyBorder="1"/>
    <xf numFmtId="167" fontId="0" fillId="0" borderId="0" xfId="0" applyNumberFormat="1"/>
    <xf numFmtId="0" fontId="6" fillId="24" borderId="15" xfId="0" applyFont="1" applyFill="1" applyBorder="1"/>
    <xf numFmtId="0" fontId="12" fillId="0" borderId="0" xfId="0" applyFont="1"/>
    <xf numFmtId="37" fontId="6" fillId="0" borderId="0" xfId="0" applyNumberFormat="1" applyFont="1" applyProtection="1">
      <protection locked="0"/>
    </xf>
    <xf numFmtId="37" fontId="6" fillId="24" borderId="11" xfId="0" applyNumberFormat="1" applyFont="1" applyFill="1" applyBorder="1" applyProtection="1">
      <protection locked="0"/>
    </xf>
    <xf numFmtId="0" fontId="31" fillId="0" borderId="0" xfId="0" applyFont="1"/>
    <xf numFmtId="0" fontId="6" fillId="0" borderId="18" xfId="0" applyFont="1" applyBorder="1"/>
    <xf numFmtId="171" fontId="0" fillId="0" borderId="0" xfId="28" applyNumberFormat="1" applyFont="1"/>
    <xf numFmtId="171" fontId="0" fillId="0" borderId="0" xfId="28" applyNumberFormat="1" applyFont="1" applyFill="1"/>
    <xf numFmtId="171" fontId="0" fillId="24" borderId="0" xfId="28" applyNumberFormat="1" applyFont="1" applyFill="1"/>
    <xf numFmtId="0" fontId="6" fillId="0" borderId="10" xfId="0" applyFont="1" applyBorder="1"/>
    <xf numFmtId="0" fontId="12" fillId="0" borderId="0" xfId="0" applyFont="1" applyAlignment="1">
      <alignment horizontal="left"/>
    </xf>
    <xf numFmtId="0" fontId="9" fillId="0" borderId="0" xfId="0" applyFont="1"/>
    <xf numFmtId="0" fontId="9" fillId="24" borderId="0" xfId="0" applyFont="1" applyFill="1"/>
    <xf numFmtId="171" fontId="6" fillId="0" borderId="10" xfId="0" applyNumberFormat="1" applyFont="1" applyBorder="1" applyProtection="1">
      <protection locked="0"/>
    </xf>
    <xf numFmtId="171" fontId="6" fillId="0" borderId="0" xfId="0" applyNumberFormat="1" applyFont="1" applyProtection="1">
      <protection locked="0"/>
    </xf>
    <xf numFmtId="171" fontId="0" fillId="0" borderId="10" xfId="28" applyNumberFormat="1" applyFont="1" applyBorder="1"/>
    <xf numFmtId="171" fontId="6" fillId="24" borderId="10" xfId="0" applyNumberFormat="1" applyFont="1" applyFill="1" applyBorder="1" applyProtection="1">
      <protection locked="0"/>
    </xf>
    <xf numFmtId="171" fontId="6" fillId="24" borderId="0" xfId="0" applyNumberFormat="1" applyFont="1" applyFill="1" applyProtection="1">
      <protection locked="0"/>
    </xf>
    <xf numFmtId="171" fontId="0" fillId="24" borderId="10" xfId="28" applyNumberFormat="1" applyFont="1" applyFill="1" applyBorder="1"/>
    <xf numFmtId="171" fontId="0" fillId="24" borderId="11" xfId="0" applyNumberFormat="1" applyFill="1" applyBorder="1"/>
    <xf numFmtId="171" fontId="6" fillId="24" borderId="12" xfId="0" applyNumberFormat="1" applyFont="1" applyFill="1" applyBorder="1" applyProtection="1">
      <protection locked="0"/>
    </xf>
    <xf numFmtId="171" fontId="6" fillId="24" borderId="11" xfId="0" applyNumberFormat="1" applyFont="1" applyFill="1" applyBorder="1" applyProtection="1">
      <protection locked="0"/>
    </xf>
    <xf numFmtId="167" fontId="0" fillId="0" borderId="0" xfId="0" applyNumberFormat="1" applyAlignment="1">
      <alignment horizontal="center"/>
    </xf>
    <xf numFmtId="167" fontId="0" fillId="24" borderId="0" xfId="0" applyNumberFormat="1" applyFill="1" applyAlignment="1">
      <alignment horizontal="center"/>
    </xf>
    <xf numFmtId="0" fontId="0" fillId="24" borderId="0" xfId="0" applyFill="1" applyAlignment="1">
      <alignment horizontal="center"/>
    </xf>
    <xf numFmtId="0" fontId="32" fillId="0" borderId="0" xfId="0" applyFont="1" applyAlignment="1">
      <alignment horizontal="left"/>
    </xf>
    <xf numFmtId="0" fontId="32" fillId="0" borderId="0" xfId="0" applyFont="1"/>
    <xf numFmtId="0" fontId="33" fillId="0" borderId="0" xfId="0" applyFont="1"/>
    <xf numFmtId="0" fontId="34" fillId="0" borderId="0" xfId="0" applyFont="1"/>
    <xf numFmtId="0" fontId="34" fillId="0" borderId="0" xfId="0" applyFont="1" applyAlignment="1">
      <alignment horizontal="center"/>
    </xf>
    <xf numFmtId="0" fontId="35" fillId="0" borderId="0" xfId="0" applyFont="1"/>
    <xf numFmtId="165" fontId="12" fillId="0" borderId="0" xfId="0" applyNumberFormat="1" applyFont="1"/>
    <xf numFmtId="165" fontId="9" fillId="0" borderId="0" xfId="0" applyNumberFormat="1" applyFont="1"/>
    <xf numFmtId="0" fontId="34" fillId="0" borderId="11" xfId="0" applyFont="1" applyBorder="1"/>
    <xf numFmtId="0" fontId="34" fillId="0" borderId="11" xfId="0" applyFont="1" applyBorder="1" applyAlignment="1">
      <alignment horizontal="center"/>
    </xf>
    <xf numFmtId="0" fontId="4" fillId="0" borderId="10" xfId="0" applyFont="1" applyBorder="1"/>
    <xf numFmtId="168" fontId="4" fillId="0" borderId="11" xfId="0" applyNumberFormat="1" applyFont="1" applyBorder="1" applyAlignment="1">
      <alignment horizontal="center"/>
    </xf>
    <xf numFmtId="0" fontId="4" fillId="0" borderId="12" xfId="0" applyFont="1" applyBorder="1" applyAlignment="1">
      <alignment horizontal="right"/>
    </xf>
    <xf numFmtId="0" fontId="4" fillId="0" borderId="11" xfId="0" applyFont="1" applyBorder="1" applyAlignment="1">
      <alignment horizontal="right"/>
    </xf>
    <xf numFmtId="5" fontId="9" fillId="0" borderId="0" xfId="0" applyNumberFormat="1" applyFont="1"/>
    <xf numFmtId="0" fontId="0" fillId="0" borderId="18" xfId="0" applyBorder="1"/>
    <xf numFmtId="5" fontId="0" fillId="0" borderId="0" xfId="0" applyNumberFormat="1"/>
    <xf numFmtId="5" fontId="34" fillId="0" borderId="0" xfId="0" applyNumberFormat="1" applyFont="1"/>
    <xf numFmtId="0" fontId="0" fillId="0" borderId="16" xfId="0" applyBorder="1" applyAlignment="1">
      <alignment horizontal="center"/>
    </xf>
    <xf numFmtId="171" fontId="0" fillId="24" borderId="19" xfId="0" applyNumberFormat="1" applyFill="1" applyBorder="1"/>
    <xf numFmtId="0" fontId="0" fillId="0" borderId="10" xfId="0" applyBorder="1"/>
    <xf numFmtId="172" fontId="0" fillId="0" borderId="0" xfId="0" applyNumberFormat="1"/>
    <xf numFmtId="0" fontId="0" fillId="0" borderId="18" xfId="0" applyBorder="1" applyAlignment="1">
      <alignment horizontal="center"/>
    </xf>
    <xf numFmtId="0" fontId="0" fillId="0" borderId="18" xfId="0" applyBorder="1" applyAlignment="1">
      <alignment horizontal="right"/>
    </xf>
    <xf numFmtId="172" fontId="0" fillId="24" borderId="0" xfId="0" applyNumberFormat="1" applyFill="1" applyAlignment="1">
      <alignment horizontal="center"/>
    </xf>
    <xf numFmtId="176" fontId="0" fillId="0" borderId="0" xfId="0" applyNumberFormat="1"/>
    <xf numFmtId="164" fontId="4" fillId="0" borderId="0" xfId="0" applyNumberFormat="1" applyFont="1"/>
    <xf numFmtId="0" fontId="0" fillId="0" borderId="10" xfId="0" applyBorder="1" applyAlignment="1">
      <alignment horizontal="right"/>
    </xf>
    <xf numFmtId="167" fontId="6" fillId="0" borderId="0" xfId="0" applyNumberFormat="1" applyFont="1" applyAlignment="1">
      <alignment horizontal="center"/>
    </xf>
    <xf numFmtId="0" fontId="0" fillId="24" borderId="0" xfId="0" quotePrefix="1" applyFill="1"/>
    <xf numFmtId="172" fontId="0" fillId="24" borderId="10" xfId="0" applyNumberFormat="1" applyFill="1" applyBorder="1" applyAlignment="1">
      <alignment horizontal="center"/>
    </xf>
    <xf numFmtId="172" fontId="0" fillId="0" borderId="10" xfId="0" applyNumberFormat="1" applyBorder="1" applyAlignment="1">
      <alignment horizontal="center"/>
    </xf>
    <xf numFmtId="172" fontId="0" fillId="0" borderId="0" xfId="0" applyNumberFormat="1" applyAlignment="1">
      <alignment horizontal="center"/>
    </xf>
    <xf numFmtId="167" fontId="7" fillId="0" borderId="0" xfId="0" applyNumberFormat="1" applyFont="1" applyAlignment="1">
      <alignment horizontal="center"/>
    </xf>
    <xf numFmtId="172" fontId="7" fillId="0" borderId="10" xfId="0" applyNumberFormat="1" applyFont="1" applyBorder="1" applyAlignment="1">
      <alignment horizontal="center"/>
    </xf>
    <xf numFmtId="172" fontId="7" fillId="0" borderId="0" xfId="0" applyNumberFormat="1" applyFont="1" applyAlignment="1">
      <alignment horizontal="center"/>
    </xf>
    <xf numFmtId="0" fontId="7" fillId="24" borderId="0" xfId="0" applyFont="1" applyFill="1"/>
    <xf numFmtId="167" fontId="7" fillId="24" borderId="0" xfId="0" applyNumberFormat="1" applyFont="1" applyFill="1" applyAlignment="1">
      <alignment horizontal="center"/>
    </xf>
    <xf numFmtId="172" fontId="7" fillId="24" borderId="10" xfId="0" applyNumberFormat="1" applyFont="1" applyFill="1" applyBorder="1" applyAlignment="1">
      <alignment horizontal="center"/>
    </xf>
    <xf numFmtId="172" fontId="7" fillId="24" borderId="0" xfId="0" applyNumberFormat="1" applyFont="1" applyFill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12" xfId="0" applyBorder="1"/>
    <xf numFmtId="166" fontId="6" fillId="0" borderId="0" xfId="0" applyNumberFormat="1" applyFont="1" applyAlignment="1">
      <alignment horizontal="center"/>
    </xf>
    <xf numFmtId="7" fontId="0" fillId="0" borderId="0" xfId="0" applyNumberFormat="1" applyAlignment="1">
      <alignment horizontal="center"/>
    </xf>
    <xf numFmtId="37" fontId="3" fillId="0" borderId="0" xfId="0" applyNumberFormat="1" applyFont="1"/>
    <xf numFmtId="165" fontId="4" fillId="0" borderId="0" xfId="0" applyNumberFormat="1" applyFont="1"/>
    <xf numFmtId="0" fontId="35" fillId="0" borderId="11" xfId="0" applyFont="1" applyBorder="1"/>
    <xf numFmtId="37" fontId="4" fillId="0" borderId="11" xfId="0" applyNumberFormat="1" applyFont="1" applyBorder="1" applyAlignment="1">
      <alignment horizontal="right"/>
    </xf>
    <xf numFmtId="37" fontId="4" fillId="24" borderId="0" xfId="0" applyNumberFormat="1" applyFont="1" applyFill="1"/>
    <xf numFmtId="165" fontId="4" fillId="24" borderId="0" xfId="0" applyNumberFormat="1" applyFont="1" applyFill="1"/>
    <xf numFmtId="165" fontId="4" fillId="25" borderId="0" xfId="0" applyNumberFormat="1" applyFont="1" applyFill="1"/>
    <xf numFmtId="165" fontId="4" fillId="24" borderId="0" xfId="0" applyNumberFormat="1" applyFont="1" applyFill="1" applyAlignment="1">
      <alignment horizontal="right"/>
    </xf>
    <xf numFmtId="165" fontId="4" fillId="25" borderId="0" xfId="0" applyNumberFormat="1" applyFont="1" applyFill="1" applyAlignment="1">
      <alignment horizontal="right"/>
    </xf>
    <xf numFmtId="165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171" fontId="3" fillId="0" borderId="0" xfId="0" applyNumberFormat="1" applyFont="1"/>
    <xf numFmtId="165" fontId="3" fillId="0" borderId="10" xfId="0" applyNumberFormat="1" applyFont="1" applyBorder="1"/>
    <xf numFmtId="165" fontId="3" fillId="0" borderId="0" xfId="0" applyNumberFormat="1" applyFont="1"/>
    <xf numFmtId="171" fontId="4" fillId="24" borderId="0" xfId="0" applyNumberFormat="1" applyFont="1" applyFill="1"/>
    <xf numFmtId="165" fontId="4" fillId="24" borderId="10" xfId="0" applyNumberFormat="1" applyFont="1" applyFill="1" applyBorder="1"/>
    <xf numFmtId="171" fontId="4" fillId="0" borderId="0" xfId="0" applyNumberFormat="1" applyFont="1"/>
    <xf numFmtId="165" fontId="4" fillId="0" borderId="10" xfId="0" applyNumberFormat="1" applyFont="1" applyBorder="1"/>
    <xf numFmtId="0" fontId="3" fillId="0" borderId="11" xfId="0" applyFont="1" applyBorder="1"/>
    <xf numFmtId="171" fontId="3" fillId="0" borderId="11" xfId="0" applyNumberFormat="1" applyFont="1" applyBorder="1"/>
    <xf numFmtId="165" fontId="3" fillId="0" borderId="12" xfId="0" applyNumberFormat="1" applyFont="1" applyBorder="1"/>
    <xf numFmtId="165" fontId="3" fillId="0" borderId="11" xfId="0" applyNumberFormat="1" applyFont="1" applyBorder="1"/>
    <xf numFmtId="37" fontId="4" fillId="25" borderId="0" xfId="0" applyNumberFormat="1" applyFont="1" applyFill="1"/>
    <xf numFmtId="0" fontId="0" fillId="0" borderId="20" xfId="0" applyBorder="1"/>
    <xf numFmtId="0" fontId="6" fillId="0" borderId="21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0" xfId="0" applyFont="1" applyAlignment="1">
      <alignment horizontal="left" wrapText="1"/>
    </xf>
    <xf numFmtId="0" fontId="10" fillId="0" borderId="22" xfId="0" applyFont="1" applyBorder="1" applyAlignment="1">
      <alignment horizontal="left" wrapText="1"/>
    </xf>
    <xf numFmtId="174" fontId="0" fillId="0" borderId="0" xfId="28" applyNumberFormat="1" applyFont="1"/>
    <xf numFmtId="0" fontId="0" fillId="0" borderId="0" xfId="0" applyAlignment="1">
      <alignment horizontal="right"/>
    </xf>
    <xf numFmtId="0" fontId="0" fillId="0" borderId="11" xfId="0" applyBorder="1" applyAlignment="1">
      <alignment horizontal="right"/>
    </xf>
    <xf numFmtId="167" fontId="0" fillId="0" borderId="10" xfId="0" applyNumberFormat="1" applyBorder="1"/>
    <xf numFmtId="174" fontId="0" fillId="0" borderId="0" xfId="28" applyNumberFormat="1" applyFont="1" applyFill="1"/>
    <xf numFmtId="174" fontId="0" fillId="0" borderId="0" xfId="0" applyNumberFormat="1"/>
    <xf numFmtId="177" fontId="6" fillId="0" borderId="0" xfId="0" applyNumberFormat="1" applyFont="1"/>
    <xf numFmtId="164" fontId="0" fillId="0" borderId="0" xfId="0" applyNumberFormat="1"/>
    <xf numFmtId="178" fontId="0" fillId="0" borderId="0" xfId="0" applyNumberFormat="1"/>
    <xf numFmtId="179" fontId="4" fillId="0" borderId="0" xfId="0" applyNumberFormat="1" applyFont="1"/>
    <xf numFmtId="172" fontId="6" fillId="0" borderId="0" xfId="0" applyNumberFormat="1" applyFont="1" applyAlignment="1">
      <alignment horizontal="center"/>
    </xf>
    <xf numFmtId="172" fontId="6" fillId="0" borderId="10" xfId="0" applyNumberFormat="1" applyFont="1" applyBorder="1" applyAlignment="1">
      <alignment horizontal="center"/>
    </xf>
    <xf numFmtId="167" fontId="6" fillId="0" borderId="12" xfId="0" applyNumberFormat="1" applyFont="1" applyBorder="1" applyAlignment="1">
      <alignment horizontal="center"/>
    </xf>
    <xf numFmtId="167" fontId="6" fillId="0" borderId="11" xfId="0" applyNumberFormat="1" applyFont="1" applyBorder="1" applyAlignment="1">
      <alignment horizontal="center"/>
    </xf>
    <xf numFmtId="0" fontId="0" fillId="0" borderId="23" xfId="0" applyBorder="1"/>
    <xf numFmtId="0" fontId="39" fillId="0" borderId="0" xfId="0" applyFont="1"/>
    <xf numFmtId="0" fontId="7" fillId="24" borderId="11" xfId="0" applyFont="1" applyFill="1" applyBorder="1"/>
    <xf numFmtId="167" fontId="7" fillId="24" borderId="11" xfId="0" applyNumberFormat="1" applyFont="1" applyFill="1" applyBorder="1" applyAlignment="1">
      <alignment horizontal="center"/>
    </xf>
    <xf numFmtId="172" fontId="7" fillId="24" borderId="12" xfId="0" applyNumberFormat="1" applyFont="1" applyFill="1" applyBorder="1" applyAlignment="1">
      <alignment horizontal="center"/>
    </xf>
    <xf numFmtId="172" fontId="7" fillId="24" borderId="11" xfId="0" applyNumberFormat="1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49" fontId="0" fillId="0" borderId="18" xfId="0" applyNumberFormat="1" applyBorder="1" applyAlignment="1">
      <alignment horizontal="center"/>
    </xf>
    <xf numFmtId="5" fontId="0" fillId="0" borderId="23" xfId="0" applyNumberFormat="1" applyBorder="1" applyAlignment="1">
      <alignment horizontal="center"/>
    </xf>
    <xf numFmtId="174" fontId="6" fillId="0" borderId="0" xfId="28" applyNumberFormat="1" applyFont="1" applyBorder="1" applyAlignment="1">
      <alignment horizontal="right"/>
    </xf>
    <xf numFmtId="171" fontId="0" fillId="0" borderId="10" xfId="28" applyNumberFormat="1" applyFont="1" applyFill="1" applyBorder="1"/>
    <xf numFmtId="174" fontId="0" fillId="0" borderId="0" xfId="28" applyNumberFormat="1" applyFont="1" applyBorder="1"/>
    <xf numFmtId="171" fontId="0" fillId="0" borderId="0" xfId="28" applyNumberFormat="1" applyFont="1" applyBorder="1"/>
    <xf numFmtId="3" fontId="6" fillId="0" borderId="18" xfId="0" applyNumberFormat="1" applyFont="1" applyBorder="1" applyAlignment="1">
      <alignment horizontal="right"/>
    </xf>
    <xf numFmtId="171" fontId="0" fillId="0" borderId="23" xfId="28" applyNumberFormat="1" applyFont="1" applyBorder="1"/>
    <xf numFmtId="171" fontId="0" fillId="0" borderId="18" xfId="28" applyNumberFormat="1" applyFont="1" applyBorder="1"/>
    <xf numFmtId="3" fontId="6" fillId="0" borderId="0" xfId="0" applyNumberFormat="1" applyFont="1" applyAlignment="1">
      <alignment horizontal="right"/>
    </xf>
    <xf numFmtId="0" fontId="6" fillId="0" borderId="21" xfId="0" applyFont="1" applyBorder="1" applyAlignment="1">
      <alignment vertical="center"/>
    </xf>
    <xf numFmtId="0" fontId="0" fillId="0" borderId="10" xfId="0" applyBorder="1" applyAlignment="1">
      <alignment horizontal="left"/>
    </xf>
    <xf numFmtId="37" fontId="10" fillId="0" borderId="0" xfId="0" applyNumberFormat="1" applyFont="1" applyProtection="1">
      <protection locked="0"/>
    </xf>
    <xf numFmtId="171" fontId="0" fillId="0" borderId="0" xfId="28" applyNumberFormat="1" applyFont="1" applyFill="1" applyBorder="1"/>
    <xf numFmtId="0" fontId="6" fillId="0" borderId="25" xfId="0" applyFont="1" applyBorder="1" applyAlignment="1">
      <alignment horizontal="center"/>
    </xf>
    <xf numFmtId="171" fontId="0" fillId="0" borderId="12" xfId="28" applyNumberFormat="1" applyFont="1" applyBorder="1"/>
    <xf numFmtId="171" fontId="0" fillId="24" borderId="0" xfId="28" applyNumberFormat="1" applyFont="1" applyFill="1" applyBorder="1"/>
    <xf numFmtId="0" fontId="6" fillId="0" borderId="25" xfId="0" applyFont="1" applyBorder="1" applyAlignment="1">
      <alignment horizontal="left"/>
    </xf>
    <xf numFmtId="171" fontId="0" fillId="24" borderId="10" xfId="28" applyNumberFormat="1" applyFont="1" applyFill="1" applyBorder="1" applyAlignment="1">
      <alignment horizontal="right"/>
    </xf>
    <xf numFmtId="171" fontId="0" fillId="0" borderId="10" xfId="28" applyNumberFormat="1" applyFont="1" applyBorder="1" applyAlignment="1">
      <alignment horizontal="right"/>
    </xf>
    <xf numFmtId="5" fontId="0" fillId="0" borderId="18" xfId="0" applyNumberFormat="1" applyBorder="1" applyAlignment="1">
      <alignment horizontal="right"/>
    </xf>
    <xf numFmtId="170" fontId="0" fillId="0" borderId="0" xfId="0" applyNumberFormat="1"/>
    <xf numFmtId="170" fontId="0" fillId="0" borderId="18" xfId="0" applyNumberFormat="1" applyBorder="1"/>
    <xf numFmtId="0" fontId="0" fillId="0" borderId="23" xfId="0" applyBorder="1" applyAlignment="1">
      <alignment horizontal="right"/>
    </xf>
    <xf numFmtId="170" fontId="0" fillId="0" borderId="10" xfId="0" applyNumberFormat="1" applyBorder="1"/>
    <xf numFmtId="170" fontId="0" fillId="0" borderId="23" xfId="0" applyNumberFormat="1" applyBorder="1"/>
    <xf numFmtId="37" fontId="0" fillId="0" borderId="0" xfId="0" quotePrefix="1" applyNumberFormat="1"/>
    <xf numFmtId="170" fontId="0" fillId="24" borderId="0" xfId="0" applyNumberFormat="1" applyFill="1"/>
    <xf numFmtId="170" fontId="0" fillId="24" borderId="10" xfId="0" applyNumberFormat="1" applyFill="1" applyBorder="1"/>
    <xf numFmtId="5" fontId="0" fillId="0" borderId="11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171" fontId="0" fillId="0" borderId="10" xfId="0" applyNumberFormat="1" applyBorder="1"/>
    <xf numFmtId="171" fontId="0" fillId="0" borderId="11" xfId="0" applyNumberFormat="1" applyBorder="1"/>
    <xf numFmtId="171" fontId="0" fillId="0" borderId="12" xfId="0" applyNumberFormat="1" applyBorder="1"/>
    <xf numFmtId="3" fontId="0" fillId="0" borderId="0" xfId="0" applyNumberFormat="1"/>
    <xf numFmtId="171" fontId="0" fillId="0" borderId="16" xfId="0" applyNumberFormat="1" applyBorder="1"/>
    <xf numFmtId="171" fontId="0" fillId="0" borderId="19" xfId="0" applyNumberFormat="1" applyBorder="1"/>
    <xf numFmtId="171" fontId="0" fillId="24" borderId="10" xfId="0" applyNumberFormat="1" applyFill="1" applyBorder="1"/>
    <xf numFmtId="171" fontId="6" fillId="0" borderId="11" xfId="0" applyNumberFormat="1" applyFont="1" applyBorder="1" applyProtection="1">
      <protection locked="0"/>
    </xf>
    <xf numFmtId="171" fontId="0" fillId="0" borderId="12" xfId="28" applyNumberFormat="1" applyFont="1" applyFill="1" applyBorder="1"/>
    <xf numFmtId="171" fontId="0" fillId="0" borderId="11" xfId="28" applyNumberFormat="1" applyFont="1" applyFill="1" applyBorder="1"/>
    <xf numFmtId="171" fontId="6" fillId="0" borderId="12" xfId="0" applyNumberFormat="1" applyFont="1" applyBorder="1" applyProtection="1">
      <protection locked="0"/>
    </xf>
    <xf numFmtId="171" fontId="6" fillId="0" borderId="19" xfId="0" applyNumberFormat="1" applyFont="1" applyBorder="1" applyProtection="1">
      <protection locked="0"/>
    </xf>
    <xf numFmtId="171" fontId="34" fillId="0" borderId="0" xfId="0" applyNumberFormat="1" applyFont="1"/>
    <xf numFmtId="171" fontId="34" fillId="0" borderId="10" xfId="0" applyNumberFormat="1" applyFont="1" applyBorder="1"/>
    <xf numFmtId="171" fontId="34" fillId="24" borderId="0" xfId="0" applyNumberFormat="1" applyFont="1" applyFill="1"/>
    <xf numFmtId="171" fontId="34" fillId="24" borderId="10" xfId="0" applyNumberFormat="1" applyFont="1" applyFill="1" applyBorder="1"/>
    <xf numFmtId="174" fontId="0" fillId="0" borderId="0" xfId="28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171" fontId="6" fillId="24" borderId="22" xfId="0" applyNumberFormat="1" applyFont="1" applyFill="1" applyBorder="1" applyProtection="1">
      <protection locked="0"/>
    </xf>
    <xf numFmtId="171" fontId="6" fillId="24" borderId="20" xfId="0" applyNumberFormat="1" applyFont="1" applyFill="1" applyBorder="1" applyProtection="1">
      <protection locked="0"/>
    </xf>
    <xf numFmtId="167" fontId="6" fillId="0" borderId="0" xfId="0" applyNumberFormat="1" applyFont="1"/>
    <xf numFmtId="5" fontId="0" fillId="0" borderId="11" xfId="0" applyNumberFormat="1" applyBorder="1" applyAlignment="1">
      <alignment horizontal="right"/>
    </xf>
    <xf numFmtId="174" fontId="0" fillId="0" borderId="0" xfId="28" applyNumberFormat="1" applyFont="1" applyFill="1" applyAlignment="1">
      <alignment horizontal="right"/>
    </xf>
    <xf numFmtId="174" fontId="0" fillId="0" borderId="0" xfId="28" applyNumberFormat="1" applyFont="1" applyFill="1" applyBorder="1" applyAlignment="1">
      <alignment horizontal="right"/>
    </xf>
    <xf numFmtId="174" fontId="0" fillId="0" borderId="11" xfId="28" applyNumberFormat="1" applyFont="1" applyFill="1" applyBorder="1" applyAlignment="1">
      <alignment horizontal="right"/>
    </xf>
    <xf numFmtId="175" fontId="0" fillId="0" borderId="15" xfId="0" applyNumberFormat="1" applyBorder="1"/>
    <xf numFmtId="175" fontId="0" fillId="0" borderId="17" xfId="0" applyNumberFormat="1" applyBorder="1"/>
    <xf numFmtId="43" fontId="0" fillId="0" borderId="0" xfId="0" applyNumberFormat="1"/>
    <xf numFmtId="43" fontId="0" fillId="0" borderId="0" xfId="28" applyFont="1"/>
    <xf numFmtId="2" fontId="0" fillId="0" borderId="0" xfId="0" applyNumberFormat="1" applyAlignment="1">
      <alignment horizontal="center"/>
    </xf>
    <xf numFmtId="2" fontId="0" fillId="0" borderId="11" xfId="0" applyNumberFormat="1" applyBorder="1" applyAlignment="1">
      <alignment horizontal="center"/>
    </xf>
    <xf numFmtId="170" fontId="2" fillId="24" borderId="10" xfId="0" applyNumberFormat="1" applyFont="1" applyFill="1" applyBorder="1"/>
    <xf numFmtId="170" fontId="2" fillId="0" borderId="10" xfId="0" applyNumberFormat="1" applyFont="1" applyBorder="1"/>
    <xf numFmtId="167" fontId="7" fillId="0" borderId="0" xfId="0" applyNumberFormat="1" applyFont="1"/>
    <xf numFmtId="167" fontId="7" fillId="24" borderId="0" xfId="0" applyNumberFormat="1" applyFont="1" applyFill="1"/>
    <xf numFmtId="167" fontId="0" fillId="24" borderId="0" xfId="0" applyNumberFormat="1" applyFill="1"/>
    <xf numFmtId="167" fontId="0" fillId="24" borderId="0" xfId="0" applyNumberFormat="1" applyFill="1" applyAlignment="1">
      <alignment horizontal="right"/>
    </xf>
    <xf numFmtId="0" fontId="7" fillId="24" borderId="15" xfId="0" applyFont="1" applyFill="1" applyBorder="1"/>
    <xf numFmtId="0" fontId="7" fillId="0" borderId="15" xfId="0" applyFont="1" applyBorder="1"/>
    <xf numFmtId="37" fontId="0" fillId="24" borderId="15" xfId="0" applyNumberFormat="1" applyFill="1" applyBorder="1"/>
    <xf numFmtId="37" fontId="0" fillId="0" borderId="15" xfId="0" applyNumberFormat="1" applyBorder="1"/>
    <xf numFmtId="0" fontId="40" fillId="0" borderId="0" xfId="0" applyFont="1"/>
    <xf numFmtId="0" fontId="41" fillId="0" borderId="0" xfId="0" applyFont="1"/>
    <xf numFmtId="174" fontId="6" fillId="0" borderId="0" xfId="28" applyNumberFormat="1" applyFont="1"/>
    <xf numFmtId="5" fontId="6" fillId="0" borderId="0" xfId="0" applyNumberFormat="1" applyFont="1"/>
    <xf numFmtId="0" fontId="7" fillId="0" borderId="10" xfId="0" applyFont="1" applyBorder="1"/>
    <xf numFmtId="0" fontId="4" fillId="24" borderId="11" xfId="0" applyFont="1" applyFill="1" applyBorder="1"/>
    <xf numFmtId="170" fontId="34" fillId="24" borderId="11" xfId="0" applyNumberFormat="1" applyFont="1" applyFill="1" applyBorder="1" applyAlignment="1">
      <alignment horizontal="center"/>
    </xf>
    <xf numFmtId="170" fontId="34" fillId="24" borderId="12" xfId="0" applyNumberFormat="1" applyFont="1" applyFill="1" applyBorder="1" applyAlignment="1">
      <alignment horizontal="center"/>
    </xf>
    <xf numFmtId="167" fontId="0" fillId="24" borderId="10" xfId="0" applyNumberFormat="1" applyFill="1" applyBorder="1"/>
    <xf numFmtId="167" fontId="0" fillId="0" borderId="0" xfId="0" applyNumberFormat="1" applyAlignment="1">
      <alignment horizontal="right"/>
    </xf>
    <xf numFmtId="167" fontId="7" fillId="24" borderId="10" xfId="0" applyNumberFormat="1" applyFont="1" applyFill="1" applyBorder="1"/>
    <xf numFmtId="167" fontId="7" fillId="24" borderId="0" xfId="0" applyNumberFormat="1" applyFont="1" applyFill="1" applyAlignment="1">
      <alignment horizontal="right"/>
    </xf>
    <xf numFmtId="167" fontId="7" fillId="0" borderId="10" xfId="0" applyNumberFormat="1" applyFont="1" applyBorder="1"/>
    <xf numFmtId="167" fontId="7" fillId="0" borderId="0" xfId="0" applyNumberFormat="1" applyFont="1" applyAlignment="1">
      <alignment horizontal="right"/>
    </xf>
    <xf numFmtId="0" fontId="0" fillId="26" borderId="0" xfId="0" applyFill="1"/>
    <xf numFmtId="165" fontId="4" fillId="27" borderId="0" xfId="0" applyNumberFormat="1" applyFont="1" applyFill="1"/>
    <xf numFmtId="0" fontId="3" fillId="26" borderId="0" xfId="0" applyFont="1" applyFill="1"/>
    <xf numFmtId="0" fontId="4" fillId="26" borderId="0" xfId="0" applyFont="1" applyFill="1"/>
    <xf numFmtId="171" fontId="4" fillId="26" borderId="0" xfId="0" applyNumberFormat="1" applyFont="1" applyFill="1"/>
    <xf numFmtId="165" fontId="4" fillId="26" borderId="0" xfId="0" applyNumberFormat="1" applyFont="1" applyFill="1"/>
    <xf numFmtId="171" fontId="3" fillId="26" borderId="0" xfId="0" applyNumberFormat="1" applyFont="1" applyFill="1"/>
    <xf numFmtId="165" fontId="3" fillId="26" borderId="0" xfId="0" applyNumberFormat="1" applyFont="1" applyFill="1"/>
    <xf numFmtId="165" fontId="4" fillId="26" borderId="10" xfId="0" applyNumberFormat="1" applyFont="1" applyFill="1" applyBorder="1"/>
    <xf numFmtId="180" fontId="4" fillId="0" borderId="0" xfId="0" applyNumberFormat="1" applyFont="1"/>
    <xf numFmtId="37" fontId="4" fillId="27" borderId="0" xfId="0" applyNumberFormat="1" applyFont="1" applyFill="1"/>
    <xf numFmtId="165" fontId="4" fillId="27" borderId="0" xfId="0" applyNumberFormat="1" applyFont="1" applyFill="1" applyAlignment="1">
      <alignment horizontal="right"/>
    </xf>
    <xf numFmtId="37" fontId="4" fillId="26" borderId="0" xfId="0" applyNumberFormat="1" applyFont="1" applyFill="1"/>
    <xf numFmtId="37" fontId="4" fillId="27" borderId="11" xfId="0" applyNumberFormat="1" applyFont="1" applyFill="1" applyBorder="1"/>
    <xf numFmtId="165" fontId="4" fillId="27" borderId="11" xfId="0" applyNumberFormat="1" applyFont="1" applyFill="1" applyBorder="1"/>
    <xf numFmtId="0" fontId="0" fillId="28" borderId="0" xfId="0" applyFill="1"/>
    <xf numFmtId="0" fontId="0" fillId="28" borderId="10" xfId="0" applyFill="1" applyBorder="1"/>
    <xf numFmtId="0" fontId="0" fillId="28" borderId="15" xfId="0" applyFill="1" applyBorder="1"/>
    <xf numFmtId="0" fontId="6" fillId="28" borderId="0" xfId="0" applyFont="1" applyFill="1"/>
    <xf numFmtId="171" fontId="4" fillId="24" borderId="22" xfId="0" applyNumberFormat="1" applyFont="1" applyFill="1" applyBorder="1"/>
    <xf numFmtId="171" fontId="4" fillId="0" borderId="10" xfId="0" applyNumberFormat="1" applyFont="1" applyBorder="1"/>
    <xf numFmtId="171" fontId="4" fillId="24" borderId="10" xfId="0" applyNumberFormat="1" applyFont="1" applyFill="1" applyBorder="1"/>
    <xf numFmtId="171" fontId="4" fillId="24" borderId="20" xfId="30" applyNumberFormat="1" applyFont="1" applyFill="1" applyBorder="1"/>
    <xf numFmtId="171" fontId="4" fillId="24" borderId="0" xfId="30" applyNumberFormat="1" applyFont="1" applyFill="1"/>
    <xf numFmtId="0" fontId="42" fillId="0" borderId="0" xfId="0" applyFont="1" applyAlignment="1">
      <alignment horizontal="left"/>
    </xf>
    <xf numFmtId="0" fontId="7" fillId="24" borderId="10" xfId="0" applyFont="1" applyFill="1" applyBorder="1"/>
    <xf numFmtId="165" fontId="0" fillId="0" borderId="0" xfId="0" applyNumberFormat="1"/>
    <xf numFmtId="3" fontId="4" fillId="24" borderId="22" xfId="0" applyNumberFormat="1" applyFont="1" applyFill="1" applyBorder="1"/>
    <xf numFmtId="10" fontId="0" fillId="0" borderId="0" xfId="0" applyNumberFormat="1"/>
    <xf numFmtId="167" fontId="6" fillId="24" borderId="0" xfId="0" applyNumberFormat="1" applyFont="1" applyFill="1"/>
    <xf numFmtId="167" fontId="6" fillId="24" borderId="10" xfId="0" applyNumberFormat="1" applyFont="1" applyFill="1" applyBorder="1"/>
    <xf numFmtId="167" fontId="6" fillId="24" borderId="0" xfId="0" applyNumberFormat="1" applyFont="1" applyFill="1" applyAlignment="1">
      <alignment horizontal="right"/>
    </xf>
    <xf numFmtId="167" fontId="6" fillId="0" borderId="10" xfId="0" applyNumberFormat="1" applyFont="1" applyBorder="1"/>
    <xf numFmtId="167" fontId="6" fillId="0" borderId="0" xfId="0" applyNumberFormat="1" applyFont="1" applyAlignment="1">
      <alignment horizontal="right"/>
    </xf>
    <xf numFmtId="174" fontId="0" fillId="0" borderId="0" xfId="28" applyNumberFormat="1" applyFont="1" applyFill="1" applyBorder="1"/>
    <xf numFmtId="180" fontId="0" fillId="0" borderId="0" xfId="0" applyNumberFormat="1"/>
    <xf numFmtId="0" fontId="42" fillId="0" borderId="26" xfId="0" applyFont="1" applyBorder="1"/>
    <xf numFmtId="0" fontId="7" fillId="0" borderId="28" xfId="0" applyFont="1" applyBorder="1" applyAlignment="1">
      <alignment horizontal="center"/>
    </xf>
    <xf numFmtId="172" fontId="2" fillId="24" borderId="10" xfId="0" applyNumberFormat="1" applyFont="1" applyFill="1" applyBorder="1" applyAlignment="1">
      <alignment horizontal="center"/>
    </xf>
    <xf numFmtId="172" fontId="2" fillId="24" borderId="0" xfId="0" applyNumberFormat="1" applyFont="1" applyFill="1" applyAlignment="1">
      <alignment horizontal="center"/>
    </xf>
    <xf numFmtId="0" fontId="61" fillId="0" borderId="0" xfId="0" applyFont="1"/>
    <xf numFmtId="0" fontId="62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0" fillId="60" borderId="0" xfId="0" applyFill="1"/>
    <xf numFmtId="171" fontId="0" fillId="0" borderId="23" xfId="28" applyNumberFormat="1" applyFont="1" applyFill="1" applyBorder="1" applyAlignment="1">
      <alignment horizontal="right"/>
    </xf>
    <xf numFmtId="170" fontId="0" fillId="0" borderId="0" xfId="0" applyNumberFormat="1" applyAlignment="1">
      <alignment horizontal="center"/>
    </xf>
    <xf numFmtId="5" fontId="0" fillId="0" borderId="0" xfId="0" applyNumberFormat="1" applyAlignment="1">
      <alignment horizontal="right"/>
    </xf>
    <xf numFmtId="49" fontId="2" fillId="0" borderId="24" xfId="0" applyNumberFormat="1" applyFont="1" applyBorder="1" applyAlignment="1">
      <alignment horizontal="center"/>
    </xf>
    <xf numFmtId="168" fontId="2" fillId="0" borderId="13" xfId="0" applyNumberFormat="1" applyFont="1" applyBorder="1" applyAlignment="1">
      <alignment horizontal="center"/>
    </xf>
    <xf numFmtId="171" fontId="0" fillId="0" borderId="0" xfId="28" applyNumberFormat="1" applyFont="1" applyFill="1" applyBorder="1" applyAlignment="1">
      <alignment horizontal="right"/>
    </xf>
    <xf numFmtId="1" fontId="0" fillId="0" borderId="0" xfId="28" applyNumberFormat="1" applyFont="1" applyFill="1" applyBorder="1" applyAlignment="1">
      <alignment horizontal="right"/>
    </xf>
    <xf numFmtId="167" fontId="2" fillId="0" borderId="0" xfId="0" applyNumberFormat="1" applyFont="1"/>
    <xf numFmtId="167" fontId="2" fillId="0" borderId="10" xfId="0" applyNumberFormat="1" applyFont="1" applyBorder="1"/>
    <xf numFmtId="167" fontId="2" fillId="0" borderId="0" xfId="0" applyNumberFormat="1" applyFont="1" applyAlignment="1">
      <alignment horizontal="right"/>
    </xf>
    <xf numFmtId="0" fontId="2" fillId="24" borderId="0" xfId="0" applyFont="1" applyFill="1"/>
    <xf numFmtId="167" fontId="2" fillId="24" borderId="0" xfId="0" applyNumberFormat="1" applyFont="1" applyFill="1"/>
    <xf numFmtId="167" fontId="2" fillId="24" borderId="10" xfId="0" applyNumberFormat="1" applyFont="1" applyFill="1" applyBorder="1"/>
    <xf numFmtId="167" fontId="2" fillId="24" borderId="0" xfId="0" applyNumberFormat="1" applyFont="1" applyFill="1" applyAlignment="1">
      <alignment horizontal="right"/>
    </xf>
    <xf numFmtId="0" fontId="6" fillId="0" borderId="14" xfId="0" applyFont="1" applyBorder="1" applyAlignment="1">
      <alignment vertical="center"/>
    </xf>
    <xf numFmtId="0" fontId="0" fillId="0" borderId="38" xfId="0" applyBorder="1"/>
    <xf numFmtId="10" fontId="0" fillId="0" borderId="39" xfId="0" applyNumberFormat="1" applyBorder="1"/>
    <xf numFmtId="0" fontId="0" fillId="0" borderId="39" xfId="0" applyBorder="1"/>
    <xf numFmtId="10" fontId="0" fillId="0" borderId="40" xfId="0" applyNumberFormat="1" applyBorder="1"/>
    <xf numFmtId="0" fontId="0" fillId="0" borderId="40" xfId="0" applyBorder="1"/>
    <xf numFmtId="174" fontId="6" fillId="0" borderId="0" xfId="28" applyNumberFormat="1" applyFont="1" applyFill="1" applyBorder="1" applyAlignment="1">
      <alignment horizontal="right"/>
    </xf>
    <xf numFmtId="1" fontId="0" fillId="0" borderId="10" xfId="28" applyNumberFormat="1" applyFont="1" applyFill="1" applyBorder="1" applyAlignment="1">
      <alignment horizontal="right"/>
    </xf>
    <xf numFmtId="0" fontId="6" fillId="0" borderId="38" xfId="0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2" fillId="0" borderId="38" xfId="0" applyFont="1" applyBorder="1"/>
    <xf numFmtId="0" fontId="0" fillId="0" borderId="40" xfId="0" applyBorder="1" applyAlignment="1">
      <alignment horizontal="center"/>
    </xf>
    <xf numFmtId="49" fontId="2" fillId="0" borderId="40" xfId="0" applyNumberFormat="1" applyFont="1" applyBorder="1" applyAlignment="1">
      <alignment horizontal="center"/>
    </xf>
    <xf numFmtId="168" fontId="2" fillId="0" borderId="40" xfId="0" applyNumberFormat="1" applyFont="1" applyBorder="1" applyAlignment="1">
      <alignment horizontal="center"/>
    </xf>
    <xf numFmtId="174" fontId="6" fillId="0" borderId="38" xfId="28" applyNumberFormat="1" applyFont="1" applyFill="1" applyBorder="1" applyAlignment="1">
      <alignment horizontal="right"/>
    </xf>
    <xf numFmtId="1" fontId="0" fillId="0" borderId="38" xfId="28" applyNumberFormat="1" applyFont="1" applyFill="1" applyBorder="1" applyAlignment="1">
      <alignment horizontal="right"/>
    </xf>
    <xf numFmtId="10" fontId="0" fillId="0" borderId="38" xfId="0" applyNumberFormat="1" applyBorder="1"/>
    <xf numFmtId="174" fontId="0" fillId="0" borderId="38" xfId="28" applyNumberFormat="1" applyFont="1" applyFill="1" applyBorder="1"/>
    <xf numFmtId="174" fontId="6" fillId="0" borderId="39" xfId="28" applyNumberFormat="1" applyFont="1" applyFill="1" applyBorder="1" applyAlignment="1">
      <alignment horizontal="right"/>
    </xf>
    <xf numFmtId="1" fontId="0" fillId="0" borderId="39" xfId="28" applyNumberFormat="1" applyFont="1" applyFill="1" applyBorder="1" applyAlignment="1">
      <alignment horizontal="right"/>
    </xf>
    <xf numFmtId="174" fontId="0" fillId="0" borderId="39" xfId="28" applyNumberFormat="1" applyFont="1" applyFill="1" applyBorder="1"/>
    <xf numFmtId="174" fontId="6" fillId="0" borderId="40" xfId="28" applyNumberFormat="1" applyFont="1" applyFill="1" applyBorder="1" applyAlignment="1">
      <alignment horizontal="right"/>
    </xf>
    <xf numFmtId="1" fontId="0" fillId="0" borderId="40" xfId="28" applyNumberFormat="1" applyFont="1" applyFill="1" applyBorder="1" applyAlignment="1">
      <alignment horizontal="right"/>
    </xf>
    <xf numFmtId="0" fontId="2" fillId="0" borderId="40" xfId="0" applyFont="1" applyBorder="1"/>
    <xf numFmtId="174" fontId="0" fillId="0" borderId="40" xfId="28" applyNumberFormat="1" applyFont="1" applyFill="1" applyBorder="1"/>
    <xf numFmtId="0" fontId="7" fillId="0" borderId="11" xfId="0" applyFont="1" applyBorder="1"/>
    <xf numFmtId="173" fontId="9" fillId="0" borderId="0" xfId="0" applyNumberFormat="1" applyFont="1"/>
    <xf numFmtId="0" fontId="32" fillId="0" borderId="0" xfId="0" applyFont="1" applyAlignment="1">
      <alignment horizontal="right"/>
    </xf>
    <xf numFmtId="0" fontId="64" fillId="0" borderId="10" xfId="0" applyFont="1" applyBorder="1"/>
    <xf numFmtId="171" fontId="12" fillId="0" borderId="0" xfId="0" applyNumberFormat="1" applyFont="1"/>
    <xf numFmtId="0" fontId="65" fillId="0" borderId="0" xfId="89" applyAlignment="1" applyProtection="1"/>
    <xf numFmtId="0" fontId="0" fillId="24" borderId="0" xfId="0" applyFill="1" applyAlignment="1">
      <alignment horizontal="right"/>
    </xf>
    <xf numFmtId="0" fontId="2" fillId="0" borderId="10" xfId="0" applyFont="1" applyBorder="1"/>
    <xf numFmtId="167" fontId="0" fillId="0" borderId="16" xfId="0" applyNumberFormat="1" applyBorder="1"/>
    <xf numFmtId="0" fontId="44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3" fontId="0" fillId="0" borderId="51" xfId="0" applyNumberFormat="1" applyBorder="1"/>
    <xf numFmtId="171" fontId="0" fillId="0" borderId="51" xfId="0" applyNumberFormat="1" applyBorder="1"/>
    <xf numFmtId="171" fontId="2" fillId="0" borderId="0" xfId="0" applyNumberFormat="1" applyFont="1" applyProtection="1">
      <protection locked="0"/>
    </xf>
    <xf numFmtId="0" fontId="0" fillId="0" borderId="51" xfId="0" applyBorder="1"/>
    <xf numFmtId="171" fontId="0" fillId="26" borderId="0" xfId="0" applyNumberFormat="1" applyFill="1"/>
    <xf numFmtId="0" fontId="6" fillId="0" borderId="51" xfId="0" applyFont="1" applyBorder="1" applyAlignment="1">
      <alignment horizontal="center"/>
    </xf>
    <xf numFmtId="0" fontId="0" fillId="0" borderId="51" xfId="0" applyBorder="1" applyAlignment="1">
      <alignment horizontal="center"/>
    </xf>
    <xf numFmtId="0" fontId="6" fillId="0" borderId="44" xfId="0" applyFont="1" applyBorder="1" applyAlignment="1">
      <alignment horizontal="center"/>
    </xf>
    <xf numFmtId="0" fontId="0" fillId="0" borderId="44" xfId="0" applyBorder="1" applyAlignment="1">
      <alignment horizontal="center"/>
    </xf>
    <xf numFmtId="0" fontId="6" fillId="0" borderId="46" xfId="0" applyFont="1" applyBorder="1" applyAlignment="1">
      <alignment horizontal="center"/>
    </xf>
    <xf numFmtId="171" fontId="0" fillId="24" borderId="44" xfId="0" applyNumberFormat="1" applyFill="1" applyBorder="1"/>
    <xf numFmtId="171" fontId="0" fillId="0" borderId="44" xfId="0" applyNumberFormat="1" applyBorder="1"/>
    <xf numFmtId="171" fontId="2" fillId="24" borderId="0" xfId="0" applyNumberFormat="1" applyFont="1" applyFill="1"/>
    <xf numFmtId="0" fontId="12" fillId="26" borderId="11" xfId="0" applyFont="1" applyFill="1" applyBorder="1"/>
    <xf numFmtId="0" fontId="61" fillId="60" borderId="0" xfId="0" applyFont="1" applyFill="1"/>
    <xf numFmtId="0" fontId="6" fillId="0" borderId="53" xfId="0" applyFont="1" applyBorder="1" applyAlignment="1">
      <alignment vertical="center"/>
    </xf>
    <xf numFmtId="0" fontId="0" fillId="0" borderId="54" xfId="0" applyBorder="1"/>
    <xf numFmtId="0" fontId="2" fillId="0" borderId="55" xfId="0" applyFont="1" applyBorder="1" applyAlignment="1">
      <alignment horizontal="center"/>
    </xf>
    <xf numFmtId="0" fontId="0" fillId="0" borderId="56" xfId="0" applyBorder="1"/>
    <xf numFmtId="174" fontId="6" fillId="0" borderId="56" xfId="28" applyNumberFormat="1" applyFont="1" applyFill="1" applyBorder="1" applyAlignment="1">
      <alignment horizontal="right"/>
    </xf>
    <xf numFmtId="1" fontId="0" fillId="0" borderId="57" xfId="28" applyNumberFormat="1" applyFont="1" applyFill="1" applyBorder="1" applyAlignment="1">
      <alignment horizontal="right"/>
    </xf>
    <xf numFmtId="10" fontId="0" fillId="0" borderId="56" xfId="0" applyNumberFormat="1" applyBorder="1"/>
    <xf numFmtId="0" fontId="0" fillId="0" borderId="58" xfId="0" applyBorder="1"/>
    <xf numFmtId="3" fontId="6" fillId="0" borderId="58" xfId="0" applyNumberFormat="1" applyFont="1" applyBorder="1" applyAlignment="1">
      <alignment horizontal="right"/>
    </xf>
    <xf numFmtId="171" fontId="0" fillId="0" borderId="59" xfId="28" applyNumberFormat="1" applyFont="1" applyFill="1" applyBorder="1" applyAlignment="1">
      <alignment horizontal="right"/>
    </xf>
    <xf numFmtId="10" fontId="0" fillId="0" borderId="58" xfId="0" applyNumberFormat="1" applyBorder="1"/>
    <xf numFmtId="170" fontId="0" fillId="24" borderId="0" xfId="0" applyNumberFormat="1" applyFill="1" applyAlignment="1">
      <alignment horizontal="right"/>
    </xf>
    <xf numFmtId="170" fontId="0" fillId="0" borderId="0" xfId="0" applyNumberFormat="1" applyAlignment="1">
      <alignment horizontal="right"/>
    </xf>
    <xf numFmtId="170" fontId="0" fillId="0" borderId="11" xfId="0" applyNumberFormat="1" applyBorder="1" applyAlignment="1">
      <alignment horizontal="right"/>
    </xf>
    <xf numFmtId="170" fontId="0" fillId="24" borderId="10" xfId="0" applyNumberFormat="1" applyFill="1" applyBorder="1" applyAlignment="1">
      <alignment horizontal="right"/>
    </xf>
    <xf numFmtId="170" fontId="0" fillId="0" borderId="10" xfId="0" applyNumberFormat="1" applyBorder="1" applyAlignment="1">
      <alignment horizontal="right"/>
    </xf>
    <xf numFmtId="0" fontId="0" fillId="61" borderId="11" xfId="0" applyFill="1" applyBorder="1" applyAlignment="1">
      <alignment horizontal="right"/>
    </xf>
    <xf numFmtId="170" fontId="0" fillId="61" borderId="11" xfId="0" applyNumberFormat="1" applyFill="1" applyBorder="1" applyAlignment="1">
      <alignment horizontal="right"/>
    </xf>
    <xf numFmtId="0" fontId="0" fillId="61" borderId="19" xfId="0" applyFill="1" applyBorder="1" applyAlignment="1">
      <alignment horizontal="right"/>
    </xf>
    <xf numFmtId="170" fontId="0" fillId="24" borderId="16" xfId="0" applyNumberFormat="1" applyFill="1" applyBorder="1"/>
    <xf numFmtId="0" fontId="0" fillId="24" borderId="51" xfId="0" applyFill="1" applyBorder="1"/>
    <xf numFmtId="0" fontId="2" fillId="28" borderId="10" xfId="0" applyFont="1" applyFill="1" applyBorder="1"/>
    <xf numFmtId="0" fontId="0" fillId="61" borderId="0" xfId="0" applyFill="1"/>
    <xf numFmtId="167" fontId="0" fillId="26" borderId="0" xfId="0" applyNumberFormat="1" applyFill="1"/>
    <xf numFmtId="167" fontId="0" fillId="26" borderId="10" xfId="0" applyNumberFormat="1" applyFill="1" applyBorder="1"/>
    <xf numFmtId="167" fontId="0" fillId="26" borderId="16" xfId="0" applyNumberFormat="1" applyFill="1" applyBorder="1" applyAlignment="1">
      <alignment horizontal="right"/>
    </xf>
    <xf numFmtId="0" fontId="2" fillId="26" borderId="0" xfId="0" applyFont="1" applyFill="1"/>
    <xf numFmtId="167" fontId="0" fillId="61" borderId="0" xfId="0" applyNumberFormat="1" applyFill="1"/>
    <xf numFmtId="167" fontId="0" fillId="61" borderId="16" xfId="0" applyNumberFormat="1" applyFill="1" applyBorder="1"/>
    <xf numFmtId="167" fontId="0" fillId="61" borderId="0" xfId="0" applyNumberFormat="1" applyFill="1" applyAlignment="1">
      <alignment horizontal="right"/>
    </xf>
    <xf numFmtId="0" fontId="0" fillId="61" borderId="39" xfId="0" applyFill="1" applyBorder="1"/>
    <xf numFmtId="167" fontId="0" fillId="0" borderId="11" xfId="0" applyNumberFormat="1" applyBorder="1"/>
    <xf numFmtId="167" fontId="0" fillId="0" borderId="12" xfId="0" applyNumberFormat="1" applyBorder="1"/>
    <xf numFmtId="167" fontId="0" fillId="0" borderId="11" xfId="0" applyNumberFormat="1" applyBorder="1" applyAlignment="1">
      <alignment horizontal="right"/>
    </xf>
    <xf numFmtId="167" fontId="7" fillId="0" borderId="11" xfId="0" applyNumberFormat="1" applyFont="1" applyBorder="1"/>
    <xf numFmtId="0" fontId="66" fillId="62" borderId="0" xfId="0" applyFont="1" applyFill="1"/>
    <xf numFmtId="3" fontId="7" fillId="0" borderId="0" xfId="0" applyNumberFormat="1" applyFont="1" applyAlignment="1">
      <alignment horizontal="center"/>
    </xf>
    <xf numFmtId="171" fontId="0" fillId="61" borderId="0" xfId="0" applyNumberFormat="1" applyFill="1"/>
    <xf numFmtId="171" fontId="0" fillId="61" borderId="44" xfId="0" applyNumberFormat="1" applyFill="1" applyBorder="1"/>
    <xf numFmtId="165" fontId="3" fillId="26" borderId="60" xfId="0" applyNumberFormat="1" applyFont="1" applyFill="1" applyBorder="1"/>
    <xf numFmtId="0" fontId="0" fillId="62" borderId="0" xfId="0" applyFill="1"/>
    <xf numFmtId="0" fontId="2" fillId="62" borderId="22" xfId="0" applyFont="1" applyFill="1" applyBorder="1" applyAlignment="1">
      <alignment horizontal="right"/>
    </xf>
    <xf numFmtId="0" fontId="0" fillId="62" borderId="45" xfId="0" applyFill="1" applyBorder="1"/>
    <xf numFmtId="167" fontId="0" fillId="62" borderId="51" xfId="0" applyNumberFormat="1" applyFill="1" applyBorder="1"/>
    <xf numFmtId="167" fontId="0" fillId="62" borderId="46" xfId="0" applyNumberFormat="1" applyFill="1" applyBorder="1"/>
    <xf numFmtId="0" fontId="2" fillId="62" borderId="45" xfId="0" applyFont="1" applyFill="1" applyBorder="1" applyAlignment="1">
      <alignment horizontal="right"/>
    </xf>
    <xf numFmtId="0" fontId="2" fillId="62" borderId="41" xfId="0" applyFont="1" applyFill="1" applyBorder="1"/>
    <xf numFmtId="0" fontId="0" fillId="62" borderId="42" xfId="0" applyFill="1" applyBorder="1"/>
    <xf numFmtId="0" fontId="0" fillId="62" borderId="46" xfId="0" applyFill="1" applyBorder="1"/>
    <xf numFmtId="165" fontId="0" fillId="62" borderId="45" xfId="0" applyNumberFormat="1" applyFill="1" applyBorder="1"/>
    <xf numFmtId="0" fontId="6" fillId="26" borderId="11" xfId="0" applyFont="1" applyFill="1" applyBorder="1"/>
    <xf numFmtId="172" fontId="6" fillId="26" borderId="11" xfId="0" applyNumberFormat="1" applyFont="1" applyFill="1" applyBorder="1" applyAlignment="1">
      <alignment horizontal="center"/>
    </xf>
    <xf numFmtId="172" fontId="6" fillId="26" borderId="12" xfId="0" applyNumberFormat="1" applyFont="1" applyFill="1" applyBorder="1" applyAlignment="1">
      <alignment horizontal="center"/>
    </xf>
    <xf numFmtId="4" fontId="0" fillId="0" borderId="0" xfId="0" applyNumberFormat="1" applyAlignment="1">
      <alignment horizontal="left"/>
    </xf>
    <xf numFmtId="171" fontId="6" fillId="24" borderId="49" xfId="0" applyNumberFormat="1" applyFont="1" applyFill="1" applyBorder="1" applyProtection="1">
      <protection locked="0"/>
    </xf>
    <xf numFmtId="171" fontId="6" fillId="24" borderId="18" xfId="0" applyNumberFormat="1" applyFont="1" applyFill="1" applyBorder="1" applyProtection="1">
      <protection locked="0"/>
    </xf>
    <xf numFmtId="171" fontId="0" fillId="24" borderId="51" xfId="0" applyNumberFormat="1" applyFill="1" applyBorder="1"/>
    <xf numFmtId="171" fontId="6" fillId="24" borderId="52" xfId="0" applyNumberFormat="1" applyFont="1" applyFill="1" applyBorder="1" applyProtection="1">
      <protection locked="0"/>
    </xf>
    <xf numFmtId="171" fontId="6" fillId="24" borderId="51" xfId="0" applyNumberFormat="1" applyFont="1" applyFill="1" applyBorder="1" applyProtection="1">
      <protection locked="0"/>
    </xf>
    <xf numFmtId="171" fontId="0" fillId="24" borderId="52" xfId="28" applyNumberFormat="1" applyFont="1" applyFill="1" applyBorder="1"/>
    <xf numFmtId="171" fontId="0" fillId="24" borderId="51" xfId="28" applyNumberFormat="1" applyFont="1" applyFill="1" applyBorder="1"/>
    <xf numFmtId="37" fontId="6" fillId="24" borderId="18" xfId="0" applyNumberFormat="1" applyFont="1" applyFill="1" applyBorder="1" applyProtection="1">
      <protection locked="0"/>
    </xf>
    <xf numFmtId="171" fontId="0" fillId="24" borderId="50" xfId="0" applyNumberFormat="1" applyFill="1" applyBorder="1"/>
    <xf numFmtId="171" fontId="6" fillId="24" borderId="50" xfId="0" applyNumberFormat="1" applyFont="1" applyFill="1" applyBorder="1" applyProtection="1">
      <protection locked="0"/>
    </xf>
    <xf numFmtId="37" fontId="6" fillId="0" borderId="18" xfId="0" applyNumberFormat="1" applyFont="1" applyBorder="1" applyProtection="1">
      <protection locked="0"/>
    </xf>
    <xf numFmtId="171" fontId="0" fillId="0" borderId="18" xfId="0" applyNumberFormat="1" applyBorder="1"/>
    <xf numFmtId="171" fontId="0" fillId="0" borderId="49" xfId="0" applyNumberFormat="1" applyBorder="1"/>
    <xf numFmtId="171" fontId="0" fillId="26" borderId="10" xfId="0" applyNumberFormat="1" applyFill="1" applyBorder="1"/>
    <xf numFmtId="0" fontId="0" fillId="26" borderId="39" xfId="0" applyFill="1" applyBorder="1"/>
    <xf numFmtId="0" fontId="0" fillId="24" borderId="39" xfId="0" applyFill="1" applyBorder="1"/>
    <xf numFmtId="167" fontId="0" fillId="0" borderId="51" xfId="0" applyNumberFormat="1" applyBorder="1" applyAlignment="1">
      <alignment horizontal="center"/>
    </xf>
    <xf numFmtId="0" fontId="0" fillId="0" borderId="51" xfId="0" applyBorder="1" applyAlignment="1">
      <alignment horizontal="left"/>
    </xf>
    <xf numFmtId="0" fontId="6" fillId="0" borderId="17" xfId="0" applyFont="1" applyBorder="1"/>
    <xf numFmtId="167" fontId="0" fillId="0" borderId="51" xfId="0" applyNumberFormat="1" applyBorder="1" applyAlignment="1">
      <alignment horizontal="right"/>
    </xf>
    <xf numFmtId="0" fontId="0" fillId="0" borderId="64" xfId="0" applyBorder="1"/>
    <xf numFmtId="0" fontId="0" fillId="0" borderId="60" xfId="0" applyBorder="1"/>
    <xf numFmtId="0" fontId="0" fillId="28" borderId="39" xfId="0" applyFill="1" applyBorder="1"/>
    <xf numFmtId="0" fontId="0" fillId="0" borderId="22" xfId="0" applyBorder="1"/>
    <xf numFmtId="0" fontId="2" fillId="28" borderId="0" xfId="0" applyFont="1" applyFill="1"/>
    <xf numFmtId="0" fontId="0" fillId="28" borderId="16" xfId="0" applyFill="1" applyBorder="1"/>
    <xf numFmtId="0" fontId="2" fillId="0" borderId="51" xfId="0" applyFont="1" applyBorder="1"/>
    <xf numFmtId="0" fontId="0" fillId="63" borderId="11" xfId="0" applyFill="1" applyBorder="1"/>
    <xf numFmtId="171" fontId="4" fillId="27" borderId="0" xfId="0" applyNumberFormat="1" applyFont="1" applyFill="1"/>
    <xf numFmtId="49" fontId="67" fillId="0" borderId="24" xfId="0" applyNumberFormat="1" applyFont="1" applyBorder="1" applyAlignment="1">
      <alignment horizontal="center"/>
    </xf>
    <xf numFmtId="174" fontId="67" fillId="24" borderId="0" xfId="28" applyNumberFormat="1" applyFont="1" applyFill="1" applyBorder="1" applyAlignment="1">
      <alignment horizontal="right"/>
    </xf>
    <xf numFmtId="174" fontId="67" fillId="0" borderId="0" xfId="28" applyNumberFormat="1" applyFont="1"/>
    <xf numFmtId="174" fontId="67" fillId="24" borderId="0" xfId="28" applyNumberFormat="1" applyFont="1" applyFill="1"/>
    <xf numFmtId="174" fontId="67" fillId="0" borderId="0" xfId="28" applyNumberFormat="1" applyFont="1" applyFill="1"/>
    <xf numFmtId="174" fontId="67" fillId="24" borderId="0" xfId="28" applyNumberFormat="1" applyFont="1" applyFill="1" applyBorder="1"/>
    <xf numFmtId="3" fontId="67" fillId="0" borderId="18" xfId="0" applyNumberFormat="1" applyFont="1" applyBorder="1" applyAlignment="1">
      <alignment horizontal="right"/>
    </xf>
    <xf numFmtId="10" fontId="7" fillId="24" borderId="11" xfId="0" applyNumberFormat="1" applyFont="1" applyFill="1" applyBorder="1"/>
    <xf numFmtId="0" fontId="66" fillId="60" borderId="0" xfId="0" applyFont="1" applyFill="1"/>
    <xf numFmtId="171" fontId="0" fillId="60" borderId="0" xfId="0" applyNumberFormat="1" applyFill="1"/>
    <xf numFmtId="174" fontId="0" fillId="60" borderId="0" xfId="28" applyNumberFormat="1" applyFont="1" applyFill="1" applyBorder="1"/>
    <xf numFmtId="174" fontId="0" fillId="60" borderId="0" xfId="28" applyNumberFormat="1" applyFont="1" applyFill="1"/>
    <xf numFmtId="171" fontId="6" fillId="60" borderId="10" xfId="0" applyNumberFormat="1" applyFont="1" applyFill="1" applyBorder="1" applyProtection="1">
      <protection locked="0"/>
    </xf>
    <xf numFmtId="171" fontId="6" fillId="60" borderId="0" xfId="0" applyNumberFormat="1" applyFont="1" applyFill="1" applyProtection="1">
      <protection locked="0"/>
    </xf>
    <xf numFmtId="0" fontId="2" fillId="0" borderId="11" xfId="0" applyFont="1" applyBorder="1" applyAlignment="1">
      <alignment horizontal="right"/>
    </xf>
    <xf numFmtId="0" fontId="0" fillId="27" borderId="0" xfId="0" applyFill="1"/>
    <xf numFmtId="3" fontId="0" fillId="27" borderId="0" xfId="0" applyNumberFormat="1" applyFill="1"/>
    <xf numFmtId="0" fontId="2" fillId="0" borderId="12" xfId="0" applyFont="1" applyBorder="1" applyAlignment="1">
      <alignment horizontal="center"/>
    </xf>
    <xf numFmtId="37" fontId="7" fillId="24" borderId="61" xfId="0" applyNumberFormat="1" applyFont="1" applyFill="1" applyBorder="1" applyProtection="1">
      <protection locked="0"/>
    </xf>
    <xf numFmtId="171" fontId="7" fillId="24" borderId="62" xfId="0" applyNumberFormat="1" applyFont="1" applyFill="1" applyBorder="1"/>
    <xf numFmtId="171" fontId="7" fillId="24" borderId="63" xfId="0" applyNumberFormat="1" applyFont="1" applyFill="1" applyBorder="1" applyProtection="1">
      <protection locked="0"/>
    </xf>
    <xf numFmtId="171" fontId="0" fillId="0" borderId="22" xfId="0" applyNumberFormat="1" applyBorder="1"/>
    <xf numFmtId="5" fontId="7" fillId="26" borderId="62" xfId="0" applyNumberFormat="1" applyFont="1" applyFill="1" applyBorder="1" applyAlignment="1" applyProtection="1">
      <alignment horizontal="right"/>
      <protection locked="0"/>
    </xf>
    <xf numFmtId="5" fontId="7" fillId="26" borderId="61" xfId="0" applyNumberFormat="1" applyFont="1" applyFill="1" applyBorder="1" applyAlignment="1" applyProtection="1">
      <alignment horizontal="right"/>
      <protection locked="0"/>
    </xf>
    <xf numFmtId="37" fontId="7" fillId="26" borderId="61" xfId="0" applyNumberFormat="1" applyFont="1" applyFill="1" applyBorder="1" applyProtection="1">
      <protection locked="0"/>
    </xf>
    <xf numFmtId="37" fontId="7" fillId="0" borderId="11" xfId="0" applyNumberFormat="1" applyFont="1" applyBorder="1" applyProtection="1">
      <protection locked="0"/>
    </xf>
    <xf numFmtId="171" fontId="7" fillId="0" borderId="19" xfId="0" applyNumberFormat="1" applyFont="1" applyBorder="1"/>
    <xf numFmtId="44" fontId="7" fillId="0" borderId="19" xfId="0" applyNumberFormat="1" applyFont="1" applyBorder="1"/>
    <xf numFmtId="0" fontId="69" fillId="0" borderId="0" xfId="0" applyFont="1" applyAlignment="1">
      <alignment horizontal="left"/>
    </xf>
    <xf numFmtId="10" fontId="9" fillId="24" borderId="0" xfId="0" applyNumberFormat="1" applyFont="1" applyFill="1" applyAlignment="1">
      <alignment horizontal="center"/>
    </xf>
    <xf numFmtId="9" fontId="9" fillId="24" borderId="0" xfId="88" applyFont="1" applyFill="1" applyAlignment="1">
      <alignment horizontal="center"/>
    </xf>
    <xf numFmtId="10" fontId="9" fillId="24" borderId="0" xfId="88" applyNumberFormat="1" applyFont="1" applyFill="1" applyAlignment="1">
      <alignment horizontal="center"/>
    </xf>
    <xf numFmtId="10" fontId="9" fillId="0" borderId="0" xfId="88" applyNumberFormat="1" applyFont="1" applyAlignment="1">
      <alignment horizontal="center"/>
    </xf>
    <xf numFmtId="10" fontId="12" fillId="26" borderId="11" xfId="88" applyNumberFormat="1" applyFont="1" applyFill="1" applyBorder="1" applyAlignment="1">
      <alignment horizontal="center"/>
    </xf>
    <xf numFmtId="171" fontId="7" fillId="24" borderId="65" xfId="0" applyNumberFormat="1" applyFont="1" applyFill="1" applyBorder="1" applyProtection="1">
      <protection locked="0"/>
    </xf>
    <xf numFmtId="171" fontId="7" fillId="24" borderId="66" xfId="0" applyNumberFormat="1" applyFont="1" applyFill="1" applyBorder="1" applyProtection="1">
      <protection locked="0"/>
    </xf>
    <xf numFmtId="171" fontId="7" fillId="24" borderId="67" xfId="0" applyNumberFormat="1" applyFont="1" applyFill="1" applyBorder="1" applyProtection="1">
      <protection locked="0"/>
    </xf>
    <xf numFmtId="171" fontId="7" fillId="24" borderId="61" xfId="0" applyNumberFormat="1" applyFont="1" applyFill="1" applyBorder="1" applyProtection="1">
      <protection locked="0"/>
    </xf>
    <xf numFmtId="0" fontId="0" fillId="64" borderId="0" xfId="0" applyFill="1"/>
    <xf numFmtId="4" fontId="0" fillId="64" borderId="0" xfId="0" applyNumberFormat="1" applyFill="1" applyAlignment="1">
      <alignment horizontal="right"/>
    </xf>
    <xf numFmtId="10" fontId="0" fillId="64" borderId="0" xfId="0" applyNumberFormat="1" applyFill="1"/>
    <xf numFmtId="9" fontId="0" fillId="64" borderId="0" xfId="88" applyFont="1" applyFill="1" applyAlignment="1">
      <alignment horizontal="center"/>
    </xf>
    <xf numFmtId="172" fontId="0" fillId="64" borderId="0" xfId="0" applyNumberFormat="1" applyFill="1"/>
    <xf numFmtId="0" fontId="0" fillId="65" borderId="0" xfId="0" applyFill="1"/>
    <xf numFmtId="0" fontId="0" fillId="24" borderId="68" xfId="0" applyFill="1" applyBorder="1" applyAlignment="1">
      <alignment horizontal="right"/>
    </xf>
    <xf numFmtId="0" fontId="0" fillId="0" borderId="16" xfId="0" applyBorder="1" applyAlignment="1">
      <alignment horizontal="right"/>
    </xf>
    <xf numFmtId="0" fontId="0" fillId="24" borderId="16" xfId="0" applyFill="1" applyBorder="1" applyAlignment="1">
      <alignment horizontal="right"/>
    </xf>
    <xf numFmtId="3" fontId="0" fillId="24" borderId="0" xfId="0" applyNumberFormat="1" applyFill="1" applyAlignment="1">
      <alignment horizontal="right"/>
    </xf>
    <xf numFmtId="3" fontId="0" fillId="0" borderId="0" xfId="0" applyNumberFormat="1" applyAlignment="1">
      <alignment horizontal="right"/>
    </xf>
    <xf numFmtId="3" fontId="0" fillId="24" borderId="68" xfId="0" applyNumberFormat="1" applyFill="1" applyBorder="1" applyAlignment="1">
      <alignment horizontal="right"/>
    </xf>
    <xf numFmtId="3" fontId="0" fillId="0" borderId="16" xfId="0" applyNumberFormat="1" applyBorder="1" applyAlignment="1">
      <alignment horizontal="right"/>
    </xf>
    <xf numFmtId="3" fontId="0" fillId="24" borderId="16" xfId="0" applyNumberFormat="1" applyFill="1" applyBorder="1" applyAlignment="1">
      <alignment horizontal="right"/>
    </xf>
    <xf numFmtId="2" fontId="0" fillId="0" borderId="0" xfId="0" applyNumberFormat="1"/>
    <xf numFmtId="0" fontId="61" fillId="62" borderId="0" xfId="0" applyFont="1" applyFill="1"/>
    <xf numFmtId="0" fontId="70" fillId="62" borderId="0" xfId="0" applyFont="1" applyFill="1"/>
    <xf numFmtId="0" fontId="71" fillId="62" borderId="0" xfId="0" applyFont="1" applyFill="1"/>
    <xf numFmtId="37" fontId="72" fillId="0" borderId="0" xfId="0" applyNumberFormat="1" applyFont="1" applyProtection="1">
      <protection locked="0"/>
    </xf>
    <xf numFmtId="0" fontId="0" fillId="26" borderId="60" xfId="0" applyFill="1" applyBorder="1"/>
    <xf numFmtId="0" fontId="0" fillId="0" borderId="52" xfId="0" applyBorder="1"/>
    <xf numFmtId="172" fontId="0" fillId="24" borderId="0" xfId="0" applyNumberFormat="1" applyFill="1"/>
    <xf numFmtId="172" fontId="0" fillId="0" borderId="51" xfId="0" applyNumberFormat="1" applyBorder="1" applyAlignment="1">
      <alignment horizontal="center"/>
    </xf>
    <xf numFmtId="172" fontId="0" fillId="26" borderId="0" xfId="0" applyNumberFormat="1" applyFill="1" applyAlignment="1">
      <alignment horizontal="center"/>
    </xf>
    <xf numFmtId="172" fontId="0" fillId="26" borderId="0" xfId="0" applyNumberFormat="1" applyFill="1"/>
    <xf numFmtId="172" fontId="0" fillId="0" borderId="51" xfId="0" applyNumberFormat="1" applyBorder="1"/>
    <xf numFmtId="10" fontId="70" fillId="24" borderId="0" xfId="0" applyNumberFormat="1" applyFont="1" applyFill="1" applyAlignment="1">
      <alignment horizontal="center"/>
    </xf>
    <xf numFmtId="10" fontId="70" fillId="0" borderId="0" xfId="0" applyNumberFormat="1" applyFont="1" applyAlignment="1">
      <alignment horizontal="center"/>
    </xf>
    <xf numFmtId="10" fontId="70" fillId="24" borderId="11" xfId="0" applyNumberFormat="1" applyFont="1" applyFill="1" applyBorder="1" applyAlignment="1">
      <alignment horizontal="center"/>
    </xf>
    <xf numFmtId="10" fontId="70" fillId="24" borderId="0" xfId="0" applyNumberFormat="1" applyFont="1" applyFill="1"/>
    <xf numFmtId="10" fontId="70" fillId="0" borderId="0" xfId="0" applyNumberFormat="1" applyFont="1"/>
    <xf numFmtId="0" fontId="43" fillId="0" borderId="0" xfId="0" applyFont="1" applyAlignment="1">
      <alignment horizontal="center"/>
    </xf>
    <xf numFmtId="0" fontId="7" fillId="60" borderId="0" xfId="0" applyFont="1" applyFill="1"/>
    <xf numFmtId="0" fontId="2" fillId="62" borderId="41" xfId="0" applyFont="1" applyFill="1" applyBorder="1" applyAlignment="1">
      <alignment horizontal="right" wrapText="1"/>
    </xf>
    <xf numFmtId="0" fontId="0" fillId="0" borderId="69" xfId="0" applyBorder="1"/>
    <xf numFmtId="0" fontId="2" fillId="62" borderId="70" xfId="0" applyFont="1" applyFill="1" applyBorder="1" applyAlignment="1">
      <alignment horizontal="right"/>
    </xf>
    <xf numFmtId="0" fontId="0" fillId="0" borderId="71" xfId="0" applyBorder="1"/>
    <xf numFmtId="167" fontId="0" fillId="0" borderId="72" xfId="0" applyNumberFormat="1" applyBorder="1"/>
    <xf numFmtId="0" fontId="7" fillId="62" borderId="0" xfId="0" applyFont="1" applyFill="1"/>
    <xf numFmtId="0" fontId="2" fillId="62" borderId="42" xfId="0" applyFont="1" applyFill="1" applyBorder="1" applyAlignment="1">
      <alignment horizontal="right" wrapText="1"/>
    </xf>
    <xf numFmtId="0" fontId="2" fillId="62" borderId="73" xfId="0" applyFont="1" applyFill="1" applyBorder="1" applyAlignment="1">
      <alignment horizontal="right" wrapText="1"/>
    </xf>
    <xf numFmtId="167" fontId="0" fillId="0" borderId="74" xfId="0" applyNumberFormat="1" applyBorder="1"/>
    <xf numFmtId="0" fontId="2" fillId="0" borderId="0" xfId="0" applyFont="1" applyAlignment="1">
      <alignment horizontal="center"/>
    </xf>
    <xf numFmtId="171" fontId="4" fillId="24" borderId="60" xfId="0" applyNumberFormat="1" applyFont="1" applyFill="1" applyBorder="1"/>
    <xf numFmtId="171" fontId="4" fillId="0" borderId="60" xfId="0" applyNumberFormat="1" applyFont="1" applyBorder="1"/>
    <xf numFmtId="0" fontId="70" fillId="0" borderId="0" xfId="0" applyFont="1"/>
    <xf numFmtId="172" fontId="2" fillId="0" borderId="0" xfId="0" applyNumberFormat="1" applyFont="1"/>
    <xf numFmtId="181" fontId="0" fillId="0" borderId="0" xfId="28" applyNumberFormat="1" applyFont="1"/>
    <xf numFmtId="3" fontId="7" fillId="0" borderId="27" xfId="0" applyNumberFormat="1" applyFont="1" applyBorder="1" applyAlignment="1">
      <alignment horizontal="center"/>
    </xf>
    <xf numFmtId="0" fontId="7" fillId="66" borderId="0" xfId="0" applyFont="1" applyFill="1" applyAlignment="1">
      <alignment horizontal="left"/>
    </xf>
    <xf numFmtId="0" fontId="0" fillId="66" borderId="0" xfId="0" applyFill="1"/>
    <xf numFmtId="0" fontId="7" fillId="66" borderId="0" xfId="0" applyFont="1" applyFill="1"/>
    <xf numFmtId="170" fontId="0" fillId="66" borderId="26" xfId="0" applyNumberFormat="1" applyFill="1" applyBorder="1"/>
    <xf numFmtId="0" fontId="2" fillId="66" borderId="27" xfId="0" applyFont="1" applyFill="1" applyBorder="1" applyAlignment="1">
      <alignment horizontal="left"/>
    </xf>
    <xf numFmtId="0" fontId="0" fillId="66" borderId="27" xfId="0" applyFill="1" applyBorder="1"/>
    <xf numFmtId="0" fontId="0" fillId="66" borderId="28" xfId="0" applyFill="1" applyBorder="1"/>
    <xf numFmtId="10" fontId="0" fillId="66" borderId="26" xfId="0" applyNumberFormat="1" applyFill="1" applyBorder="1"/>
    <xf numFmtId="0" fontId="2" fillId="66" borderId="27" xfId="0" applyFont="1" applyFill="1" applyBorder="1"/>
    <xf numFmtId="0" fontId="0" fillId="66" borderId="75" xfId="0" applyFill="1" applyBorder="1"/>
    <xf numFmtId="0" fontId="0" fillId="66" borderId="76" xfId="0" applyFill="1" applyBorder="1"/>
    <xf numFmtId="0" fontId="0" fillId="66" borderId="77" xfId="0" applyFill="1" applyBorder="1"/>
    <xf numFmtId="0" fontId="0" fillId="66" borderId="49" xfId="0" applyFill="1" applyBorder="1"/>
    <xf numFmtId="0" fontId="0" fillId="66" borderId="18" xfId="0" applyFill="1" applyBorder="1"/>
    <xf numFmtId="0" fontId="0" fillId="66" borderId="50" xfId="0" applyFill="1" applyBorder="1"/>
    <xf numFmtId="170" fontId="0" fillId="66" borderId="76" xfId="0" applyNumberFormat="1" applyFill="1" applyBorder="1" applyAlignment="1">
      <alignment horizontal="center"/>
    </xf>
    <xf numFmtId="170" fontId="0" fillId="66" borderId="18" xfId="0" applyNumberFormat="1" applyFill="1" applyBorder="1" applyAlignment="1">
      <alignment horizontal="center"/>
    </xf>
    <xf numFmtId="0" fontId="2" fillId="66" borderId="75" xfId="0" applyFont="1" applyFill="1" applyBorder="1"/>
    <xf numFmtId="0" fontId="2" fillId="66" borderId="49" xfId="0" applyFont="1" applyFill="1" applyBorder="1"/>
    <xf numFmtId="0" fontId="2" fillId="66" borderId="38" xfId="0" applyFont="1" applyFill="1" applyBorder="1"/>
    <xf numFmtId="0" fontId="0" fillId="66" borderId="48" xfId="0" applyFill="1" applyBorder="1"/>
    <xf numFmtId="0" fontId="2" fillId="66" borderId="0" xfId="0" applyFont="1" applyFill="1"/>
    <xf numFmtId="0" fontId="0" fillId="66" borderId="75" xfId="0" applyFill="1" applyBorder="1" applyAlignment="1">
      <alignment horizontal="left"/>
    </xf>
    <xf numFmtId="0" fontId="2" fillId="66" borderId="76" xfId="0" applyFont="1" applyFill="1" applyBorder="1"/>
    <xf numFmtId="180" fontId="7" fillId="66" borderId="18" xfId="0" applyNumberFormat="1" applyFont="1" applyFill="1" applyBorder="1"/>
    <xf numFmtId="3" fontId="0" fillId="66" borderId="18" xfId="0" applyNumberFormat="1" applyFill="1" applyBorder="1" applyAlignment="1">
      <alignment horizontal="center"/>
    </xf>
    <xf numFmtId="0" fontId="7" fillId="66" borderId="76" xfId="0" applyFont="1" applyFill="1" applyBorder="1" applyAlignment="1">
      <alignment horizontal="left"/>
    </xf>
    <xf numFmtId="170" fontId="7" fillId="66" borderId="16" xfId="0" applyNumberFormat="1" applyFont="1" applyFill="1" applyBorder="1" applyAlignment="1">
      <alignment horizontal="left"/>
    </xf>
    <xf numFmtId="0" fontId="2" fillId="66" borderId="18" xfId="0" applyFont="1" applyFill="1" applyBorder="1"/>
    <xf numFmtId="175" fontId="7" fillId="66" borderId="50" xfId="0" applyNumberFormat="1" applyFont="1" applyFill="1" applyBorder="1" applyAlignment="1">
      <alignment horizontal="left"/>
    </xf>
    <xf numFmtId="0" fontId="2" fillId="66" borderId="60" xfId="0" applyFont="1" applyFill="1" applyBorder="1"/>
    <xf numFmtId="3" fontId="0" fillId="66" borderId="0" xfId="0" applyNumberFormat="1" applyFill="1" applyAlignment="1">
      <alignment horizontal="center"/>
    </xf>
    <xf numFmtId="0" fontId="75" fillId="66" borderId="75" xfId="0" applyFont="1" applyFill="1" applyBorder="1"/>
    <xf numFmtId="180" fontId="0" fillId="66" borderId="18" xfId="0" applyNumberFormat="1" applyFill="1" applyBorder="1" applyAlignment="1">
      <alignment horizontal="left"/>
    </xf>
    <xf numFmtId="0" fontId="2" fillId="66" borderId="75" xfId="0" applyFont="1" applyFill="1" applyBorder="1" applyAlignment="1">
      <alignment horizontal="left"/>
    </xf>
    <xf numFmtId="170" fontId="7" fillId="66" borderId="50" xfId="0" applyNumberFormat="1" applyFont="1" applyFill="1" applyBorder="1" applyAlignment="1">
      <alignment horizontal="left"/>
    </xf>
    <xf numFmtId="172" fontId="0" fillId="62" borderId="46" xfId="0" applyNumberFormat="1" applyFill="1" applyBorder="1"/>
    <xf numFmtId="0" fontId="2" fillId="66" borderId="0" xfId="0" applyFont="1" applyFill="1" applyAlignment="1">
      <alignment horizontal="right"/>
    </xf>
    <xf numFmtId="0" fontId="7" fillId="66" borderId="0" xfId="0" applyFont="1" applyFill="1" applyAlignment="1">
      <alignment horizontal="right"/>
    </xf>
    <xf numFmtId="167" fontId="2" fillId="66" borderId="25" xfId="0" applyNumberFormat="1" applyFont="1" applyFill="1" applyBorder="1"/>
    <xf numFmtId="0" fontId="2" fillId="66" borderId="47" xfId="0" applyFont="1" applyFill="1" applyBorder="1"/>
    <xf numFmtId="0" fontId="0" fillId="66" borderId="47" xfId="0" applyFill="1" applyBorder="1"/>
    <xf numFmtId="167" fontId="67" fillId="66" borderId="49" xfId="0" applyNumberFormat="1" applyFont="1" applyFill="1" applyBorder="1"/>
    <xf numFmtId="0" fontId="67" fillId="66" borderId="0" xfId="0" applyFont="1" applyFill="1"/>
    <xf numFmtId="0" fontId="67" fillId="66" borderId="16" xfId="0" applyFont="1" applyFill="1" applyBorder="1"/>
    <xf numFmtId="10" fontId="7" fillId="66" borderId="49" xfId="88" applyNumberFormat="1" applyFont="1" applyFill="1" applyBorder="1"/>
    <xf numFmtId="0" fontId="7" fillId="66" borderId="18" xfId="0" applyFont="1" applyFill="1" applyBorder="1"/>
    <xf numFmtId="0" fontId="7" fillId="66" borderId="75" xfId="0" applyFont="1" applyFill="1" applyBorder="1" applyAlignment="1">
      <alignment horizontal="left"/>
    </xf>
    <xf numFmtId="171" fontId="2" fillId="66" borderId="0" xfId="0" applyNumberFormat="1" applyFont="1" applyFill="1"/>
    <xf numFmtId="171" fontId="2" fillId="66" borderId="18" xfId="0" applyNumberFormat="1" applyFont="1" applyFill="1" applyBorder="1"/>
    <xf numFmtId="0" fontId="0" fillId="66" borderId="16" xfId="0" applyFill="1" applyBorder="1"/>
    <xf numFmtId="171" fontId="0" fillId="66" borderId="49" xfId="0" applyNumberFormat="1" applyFill="1" applyBorder="1"/>
    <xf numFmtId="176" fontId="7" fillId="66" borderId="18" xfId="88" applyNumberFormat="1" applyFont="1" applyFill="1" applyBorder="1"/>
    <xf numFmtId="171" fontId="2" fillId="66" borderId="60" xfId="0" applyNumberFormat="1" applyFont="1" applyFill="1" applyBorder="1"/>
    <xf numFmtId="171" fontId="0" fillId="66" borderId="0" xfId="0" applyNumberFormat="1" applyFill="1"/>
    <xf numFmtId="171" fontId="0" fillId="66" borderId="18" xfId="0" applyNumberFormat="1" applyFill="1" applyBorder="1"/>
    <xf numFmtId="3" fontId="7" fillId="66" borderId="27" xfId="0" applyNumberFormat="1" applyFont="1" applyFill="1" applyBorder="1" applyAlignment="1">
      <alignment horizontal="center"/>
    </xf>
    <xf numFmtId="0" fontId="7" fillId="66" borderId="27" xfId="0" applyFont="1" applyFill="1" applyBorder="1" applyAlignment="1">
      <alignment horizontal="center"/>
    </xf>
    <xf numFmtId="182" fontId="7" fillId="66" borderId="16" xfId="0" applyNumberFormat="1" applyFont="1" applyFill="1" applyBorder="1"/>
    <xf numFmtId="182" fontId="7" fillId="66" borderId="50" xfId="0" applyNumberFormat="1" applyFont="1" applyFill="1" applyBorder="1"/>
    <xf numFmtId="0" fontId="7" fillId="66" borderId="49" xfId="0" applyFont="1" applyFill="1" applyBorder="1"/>
    <xf numFmtId="0" fontId="2" fillId="66" borderId="60" xfId="0" applyFont="1" applyFill="1" applyBorder="1" applyAlignment="1">
      <alignment horizontal="left"/>
    </xf>
    <xf numFmtId="180" fontId="0" fillId="66" borderId="0" xfId="0" applyNumberFormat="1" applyFill="1" applyAlignment="1">
      <alignment horizontal="left"/>
    </xf>
    <xf numFmtId="0" fontId="6" fillId="66" borderId="0" xfId="0" applyFont="1" applyFill="1"/>
    <xf numFmtId="0" fontId="0" fillId="66" borderId="60" xfId="0" applyFill="1" applyBorder="1"/>
    <xf numFmtId="182" fontId="7" fillId="66" borderId="16" xfId="0" applyNumberFormat="1" applyFont="1" applyFill="1" applyBorder="1" applyAlignment="1">
      <alignment horizontal="left"/>
    </xf>
    <xf numFmtId="10" fontId="7" fillId="66" borderId="50" xfId="0" applyNumberFormat="1" applyFont="1" applyFill="1" applyBorder="1" applyAlignment="1">
      <alignment horizontal="left"/>
    </xf>
    <xf numFmtId="10" fontId="7" fillId="66" borderId="18" xfId="0" applyNumberFormat="1" applyFont="1" applyFill="1" applyBorder="1"/>
    <xf numFmtId="10" fontId="7" fillId="0" borderId="0" xfId="0" applyNumberFormat="1" applyFont="1"/>
    <xf numFmtId="172" fontId="0" fillId="62" borderId="0" xfId="0" applyNumberFormat="1" applyFill="1"/>
    <xf numFmtId="0" fontId="2" fillId="62" borderId="0" xfId="0" applyFont="1" applyFill="1"/>
    <xf numFmtId="167" fontId="0" fillId="62" borderId="0" xfId="0" applyNumberFormat="1" applyFill="1"/>
    <xf numFmtId="0" fontId="37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horizontal="center"/>
    </xf>
    <xf numFmtId="166" fontId="8" fillId="0" borderId="0" xfId="0" quotePrefix="1" applyNumberFormat="1" applyFont="1" applyAlignment="1">
      <alignment horizontal="center"/>
    </xf>
    <xf numFmtId="0" fontId="61" fillId="62" borderId="41" xfId="0" applyFont="1" applyFill="1" applyBorder="1" applyAlignment="1">
      <alignment horizontal="center" vertical="top" wrapText="1"/>
    </xf>
    <xf numFmtId="0" fontId="61" fillId="62" borderId="22" xfId="0" applyFont="1" applyFill="1" applyBorder="1" applyAlignment="1">
      <alignment horizontal="center" vertical="top" wrapText="1"/>
    </xf>
    <xf numFmtId="0" fontId="61" fillId="62" borderId="42" xfId="0" applyFont="1" applyFill="1" applyBorder="1" applyAlignment="1">
      <alignment horizontal="center" vertical="top" wrapText="1"/>
    </xf>
    <xf numFmtId="0" fontId="61" fillId="62" borderId="43" xfId="0" applyFont="1" applyFill="1" applyBorder="1" applyAlignment="1">
      <alignment horizontal="center" vertical="top" wrapText="1"/>
    </xf>
    <xf numFmtId="0" fontId="61" fillId="62" borderId="0" xfId="0" applyFont="1" applyFill="1" applyAlignment="1">
      <alignment horizontal="center" vertical="top" wrapText="1"/>
    </xf>
    <xf numFmtId="0" fontId="61" fillId="62" borderId="44" xfId="0" applyFont="1" applyFill="1" applyBorder="1" applyAlignment="1">
      <alignment horizontal="center" vertical="top" wrapText="1"/>
    </xf>
    <xf numFmtId="0" fontId="61" fillId="62" borderId="45" xfId="0" applyFont="1" applyFill="1" applyBorder="1" applyAlignment="1">
      <alignment horizontal="center" vertical="top" wrapText="1"/>
    </xf>
    <xf numFmtId="0" fontId="61" fillId="62" borderId="51" xfId="0" applyFont="1" applyFill="1" applyBorder="1" applyAlignment="1">
      <alignment horizontal="center" vertical="top" wrapText="1"/>
    </xf>
    <xf numFmtId="0" fontId="61" fillId="62" borderId="46" xfId="0" applyFont="1" applyFill="1" applyBorder="1" applyAlignment="1">
      <alignment horizontal="center" vertical="top" wrapText="1"/>
    </xf>
    <xf numFmtId="0" fontId="6" fillId="0" borderId="22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43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0" fillId="60" borderId="0" xfId="0" applyFill="1" applyAlignment="1">
      <alignment wrapText="1"/>
    </xf>
    <xf numFmtId="0" fontId="6" fillId="0" borderId="0" xfId="0" applyFont="1" applyAlignment="1">
      <alignment horizontal="center"/>
    </xf>
    <xf numFmtId="0" fontId="61" fillId="60" borderId="0" xfId="0" applyFont="1" applyFill="1" applyAlignment="1">
      <alignment horizontal="center"/>
    </xf>
    <xf numFmtId="0" fontId="10" fillId="0" borderId="0" xfId="0" applyFont="1" applyAlignment="1">
      <alignment horizontal="left" wrapText="1"/>
    </xf>
  </cellXfs>
  <cellStyles count="90">
    <cellStyle name="20% - Accent1" xfId="1" builtinId="30" customBuiltin="1"/>
    <cellStyle name="20% - Accent1 2" xfId="47" xr:uid="{00000000-0005-0000-0000-000001000000}"/>
    <cellStyle name="20% - Accent2" xfId="2" builtinId="34" customBuiltin="1"/>
    <cellStyle name="20% - Accent2 2" xfId="48" xr:uid="{00000000-0005-0000-0000-000003000000}"/>
    <cellStyle name="20% - Accent3" xfId="3" builtinId="38" customBuiltin="1"/>
    <cellStyle name="20% - Accent3 2" xfId="49" xr:uid="{00000000-0005-0000-0000-000005000000}"/>
    <cellStyle name="20% - Accent4" xfId="4" builtinId="42" customBuiltin="1"/>
    <cellStyle name="20% - Accent4 2" xfId="50" xr:uid="{00000000-0005-0000-0000-000007000000}"/>
    <cellStyle name="20% - Accent5" xfId="5" builtinId="46" customBuiltin="1"/>
    <cellStyle name="20% - Accent5 2" xfId="51" xr:uid="{00000000-0005-0000-0000-000009000000}"/>
    <cellStyle name="20% - Accent6" xfId="6" builtinId="50" customBuiltin="1"/>
    <cellStyle name="20% - Accent6 2" xfId="52" xr:uid="{00000000-0005-0000-0000-00000B000000}"/>
    <cellStyle name="40% - Accent1" xfId="7" builtinId="31" customBuiltin="1"/>
    <cellStyle name="40% - Accent1 2" xfId="53" xr:uid="{00000000-0005-0000-0000-00000D000000}"/>
    <cellStyle name="40% - Accent2" xfId="8" builtinId="35" customBuiltin="1"/>
    <cellStyle name="40% - Accent2 2" xfId="54" xr:uid="{00000000-0005-0000-0000-00000F000000}"/>
    <cellStyle name="40% - Accent3" xfId="9" builtinId="39" customBuiltin="1"/>
    <cellStyle name="40% - Accent3 2" xfId="55" xr:uid="{00000000-0005-0000-0000-000011000000}"/>
    <cellStyle name="40% - Accent4" xfId="10" builtinId="43" customBuiltin="1"/>
    <cellStyle name="40% - Accent4 2" xfId="56" xr:uid="{00000000-0005-0000-0000-000013000000}"/>
    <cellStyle name="40% - Accent5" xfId="11" builtinId="47" customBuiltin="1"/>
    <cellStyle name="40% - Accent5 2" xfId="57" xr:uid="{00000000-0005-0000-0000-000015000000}"/>
    <cellStyle name="40% - Accent6" xfId="12" builtinId="51" customBuiltin="1"/>
    <cellStyle name="40% - Accent6 2" xfId="58" xr:uid="{00000000-0005-0000-0000-000017000000}"/>
    <cellStyle name="60% - Accent1" xfId="13" builtinId="32" customBuiltin="1"/>
    <cellStyle name="60% - Accent1 2" xfId="59" xr:uid="{00000000-0005-0000-0000-000019000000}"/>
    <cellStyle name="60% - Accent2" xfId="14" builtinId="36" customBuiltin="1"/>
    <cellStyle name="60% - Accent2 2" xfId="60" xr:uid="{00000000-0005-0000-0000-00001B000000}"/>
    <cellStyle name="60% - Accent3" xfId="15" builtinId="40" customBuiltin="1"/>
    <cellStyle name="60% - Accent3 2" xfId="61" xr:uid="{00000000-0005-0000-0000-00001D000000}"/>
    <cellStyle name="60% - Accent4" xfId="16" builtinId="44" customBuiltin="1"/>
    <cellStyle name="60% - Accent4 2" xfId="62" xr:uid="{00000000-0005-0000-0000-00001F000000}"/>
    <cellStyle name="60% - Accent5" xfId="17" builtinId="48" customBuiltin="1"/>
    <cellStyle name="60% - Accent5 2" xfId="63" xr:uid="{00000000-0005-0000-0000-000021000000}"/>
    <cellStyle name="60% - Accent6" xfId="18" builtinId="52" customBuiltin="1"/>
    <cellStyle name="60% - Accent6 2" xfId="64" xr:uid="{00000000-0005-0000-0000-000023000000}"/>
    <cellStyle name="Accent1" xfId="19" builtinId="29" customBuiltin="1"/>
    <cellStyle name="Accent1 2" xfId="65" xr:uid="{00000000-0005-0000-0000-000025000000}"/>
    <cellStyle name="Accent2" xfId="20" builtinId="33" customBuiltin="1"/>
    <cellStyle name="Accent2 2" xfId="66" xr:uid="{00000000-0005-0000-0000-000027000000}"/>
    <cellStyle name="Accent3" xfId="21" builtinId="37" customBuiltin="1"/>
    <cellStyle name="Accent3 2" xfId="67" xr:uid="{00000000-0005-0000-0000-000029000000}"/>
    <cellStyle name="Accent4" xfId="22" builtinId="41" customBuiltin="1"/>
    <cellStyle name="Accent4 2" xfId="68" xr:uid="{00000000-0005-0000-0000-00002B000000}"/>
    <cellStyle name="Accent5" xfId="23" builtinId="45" customBuiltin="1"/>
    <cellStyle name="Accent5 2" xfId="69" xr:uid="{00000000-0005-0000-0000-00002D000000}"/>
    <cellStyle name="Accent6" xfId="24" builtinId="49" customBuiltin="1"/>
    <cellStyle name="Accent6 2" xfId="70" xr:uid="{00000000-0005-0000-0000-00002F000000}"/>
    <cellStyle name="Bad" xfId="25" builtinId="27" customBuiltin="1"/>
    <cellStyle name="Bad 2" xfId="71" xr:uid="{00000000-0005-0000-0000-000031000000}"/>
    <cellStyle name="Calculation" xfId="26" builtinId="22" customBuiltin="1"/>
    <cellStyle name="Calculation 2" xfId="72" xr:uid="{00000000-0005-0000-0000-000033000000}"/>
    <cellStyle name="Check Cell" xfId="27" builtinId="23" customBuiltin="1"/>
    <cellStyle name="Check Cell 2" xfId="73" xr:uid="{00000000-0005-0000-0000-000035000000}"/>
    <cellStyle name="Comma" xfId="28" builtinId="3"/>
    <cellStyle name="Comma 2" xfId="29" xr:uid="{00000000-0005-0000-0000-000037000000}"/>
    <cellStyle name="Currency" xfId="30" builtinId="4"/>
    <cellStyle name="Currency 3" xfId="31" xr:uid="{00000000-0005-0000-0000-000039000000}"/>
    <cellStyle name="Explanatory Text" xfId="32" builtinId="53" customBuiltin="1"/>
    <cellStyle name="Explanatory Text 2" xfId="74" xr:uid="{00000000-0005-0000-0000-00003B000000}"/>
    <cellStyle name="Good" xfId="33" builtinId="26" customBuiltin="1"/>
    <cellStyle name="Good 2" xfId="75" xr:uid="{00000000-0005-0000-0000-00003D000000}"/>
    <cellStyle name="Heading 1" xfId="34" builtinId="16" customBuiltin="1"/>
    <cellStyle name="Heading 1 2" xfId="76" xr:uid="{00000000-0005-0000-0000-00003F000000}"/>
    <cellStyle name="Heading 2" xfId="35" builtinId="17" customBuiltin="1"/>
    <cellStyle name="Heading 2 2" xfId="77" xr:uid="{00000000-0005-0000-0000-000041000000}"/>
    <cellStyle name="Heading 3" xfId="36" builtinId="18" customBuiltin="1"/>
    <cellStyle name="Heading 3 2" xfId="78" xr:uid="{00000000-0005-0000-0000-000043000000}"/>
    <cellStyle name="Heading 4" xfId="37" builtinId="19" customBuiltin="1"/>
    <cellStyle name="Heading 4 2" xfId="79" xr:uid="{00000000-0005-0000-0000-000045000000}"/>
    <cellStyle name="Hyperlink" xfId="89" builtinId="8"/>
    <cellStyle name="Input" xfId="38" builtinId="20" customBuiltin="1"/>
    <cellStyle name="Input 2" xfId="80" xr:uid="{00000000-0005-0000-0000-000048000000}"/>
    <cellStyle name="Linked Cell" xfId="39" builtinId="24" customBuiltin="1"/>
    <cellStyle name="Linked Cell 2" xfId="81" xr:uid="{00000000-0005-0000-0000-00004A000000}"/>
    <cellStyle name="Neutral" xfId="40" builtinId="28" customBuiltin="1"/>
    <cellStyle name="Neutral 2" xfId="82" xr:uid="{00000000-0005-0000-0000-00004C000000}"/>
    <cellStyle name="Normal" xfId="0" builtinId="0"/>
    <cellStyle name="Normal 2" xfId="46" xr:uid="{00000000-0005-0000-0000-00004E000000}"/>
    <cellStyle name="Note" xfId="41" builtinId="10" customBuiltin="1"/>
    <cellStyle name="Note 2" xfId="83" xr:uid="{00000000-0005-0000-0000-000050000000}"/>
    <cellStyle name="Output" xfId="42" builtinId="21" customBuiltin="1"/>
    <cellStyle name="Output 2" xfId="84" xr:uid="{00000000-0005-0000-0000-000052000000}"/>
    <cellStyle name="Percent" xfId="88" builtinId="5"/>
    <cellStyle name="Title" xfId="43" builtinId="15" customBuiltin="1"/>
    <cellStyle name="Title 2" xfId="85" xr:uid="{00000000-0005-0000-0000-000055000000}"/>
    <cellStyle name="Total" xfId="44" builtinId="25" customBuiltin="1"/>
    <cellStyle name="Total 2" xfId="86" xr:uid="{00000000-0005-0000-0000-000057000000}"/>
    <cellStyle name="Warning Text" xfId="45" builtinId="11" customBuiltin="1"/>
    <cellStyle name="Warning Text 2" xfId="87" xr:uid="{00000000-0005-0000-0000-000059000000}"/>
  </cellStyles>
  <dxfs count="0"/>
  <tableStyles count="0" defaultTableStyle="TableStyleMedium9" defaultPivotStyle="PivotStyleLight16"/>
  <colors>
    <mruColors>
      <color rgb="FFFFFFCC"/>
      <color rgb="FF0000FF"/>
      <color rgb="FF0000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4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Property Tax Obligations </a:t>
            </a:r>
          </a:p>
        </c:rich>
      </c:tx>
      <c:layout>
        <c:manualLayout>
          <c:xMode val="edge"/>
          <c:yMode val="edge"/>
          <c:x val="0.4276656199775711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2358945764107461E-2"/>
          <c:y val="8.5656849633110169E-2"/>
          <c:w val="0.89137868487717953"/>
          <c:h val="0.8861936904142927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3.726018648760726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50-4277-86BC-F50C62F1A01C}"/>
                </c:ext>
              </c:extLst>
            </c:dLbl>
            <c:dLbl>
              <c:idx val="2"/>
              <c:layout>
                <c:manualLayout>
                  <c:x val="-2.4279904713726962E-3"/>
                  <c:y val="1.343524955215053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50-4277-86BC-F50C62F1A01C}"/>
                </c:ext>
              </c:extLst>
            </c:dLbl>
            <c:dLbl>
              <c:idx val="3"/>
              <c:layout>
                <c:manualLayout>
                  <c:x val="-1.5124476342710878E-3"/>
                  <c:y val="-1.70614234082621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50-4277-86BC-F50C62F1A01C}"/>
                </c:ext>
              </c:extLst>
            </c:dLbl>
            <c:dLbl>
              <c:idx val="4"/>
              <c:layout>
                <c:manualLayout>
                  <c:x val="-1.0534204993067505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50-4277-86BC-F50C62F1A01C}"/>
                </c:ext>
              </c:extLst>
            </c:dLbl>
            <c:dLbl>
              <c:idx val="5"/>
              <c:layout>
                <c:manualLayout>
                  <c:x val="-2.3051814061298779E-3"/>
                  <c:y val="1.343524955684273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50-4277-86BC-F50C62F1A01C}"/>
                </c:ext>
              </c:extLst>
            </c:dLbl>
            <c:dLbl>
              <c:idx val="7"/>
              <c:layout>
                <c:manualLayout>
                  <c:x val="-2.8745232280224962E-3"/>
                  <c:y val="1.343524955684273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50-4277-86BC-F50C62F1A01C}"/>
                </c:ext>
              </c:extLst>
            </c:dLbl>
            <c:dLbl>
              <c:idx val="8"/>
              <c:layout>
                <c:manualLayout>
                  <c:x val="3.1499646233293399E-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50-4277-86BC-F50C62F1A01C}"/>
                </c:ext>
              </c:extLst>
            </c:dLbl>
            <c:dLbl>
              <c:idx val="9"/>
              <c:layout>
                <c:manualLayout>
                  <c:x val="-1.6776371284704E-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50-4277-86BC-F50C62F1A01C}"/>
                </c:ext>
              </c:extLst>
            </c:dLbl>
            <c:dLbl>
              <c:idx val="10"/>
              <c:layout>
                <c:manualLayout>
                  <c:x val="1.4258659875584874E-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050-4277-86BC-F50C62F1A01C}"/>
                </c:ext>
              </c:extLst>
            </c:dLbl>
            <c:dLbl>
              <c:idx val="13"/>
              <c:layout>
                <c:manualLayout>
                  <c:x val="-4.8238346025594552E-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50-4277-86BC-F50C62F1A01C}"/>
                </c:ext>
              </c:extLst>
            </c:dLbl>
            <c:dLbl>
              <c:idx val="14"/>
              <c:layout>
                <c:manualLayout>
                  <c:x val="-8.3323062619501036E-4"/>
                  <c:y val="1.3435249553714598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50-4277-86BC-F50C62F1A01C}"/>
                </c:ext>
              </c:extLst>
            </c:dLbl>
            <c:dLbl>
              <c:idx val="15"/>
              <c:layout>
                <c:manualLayout>
                  <c:x val="4.2681800895741649E-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050-4277-86BC-F50C62F1A01C}"/>
                </c:ext>
              </c:extLst>
            </c:dLbl>
            <c:dLbl>
              <c:idx val="16"/>
              <c:layout>
                <c:manualLayout>
                  <c:x val="2.4927226524899633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050-4277-86BC-F50C62F1A01C}"/>
                </c:ext>
              </c:extLst>
            </c:dLbl>
            <c:dLbl>
              <c:idx val="17"/>
              <c:layout>
                <c:manualLayout>
                  <c:x val="-3.5850703606160115E-5"/>
                  <c:y val="6.2562756024834689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050-4277-86BC-F50C62F1A01C}"/>
                </c:ext>
              </c:extLst>
            </c:dLbl>
            <c:dLbl>
              <c:idx val="19"/>
              <c:layout>
                <c:manualLayout>
                  <c:x val="-3.5850703606160115E-5"/>
                  <c:y val="1.2512551204966938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050-4277-86BC-F50C62F1A01C}"/>
                </c:ext>
              </c:extLst>
            </c:dLbl>
            <c:dLbl>
              <c:idx val="20"/>
              <c:layout>
                <c:manualLayout>
                  <c:x val="-2.4662270361645698E-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050-4277-86BC-F50C62F1A01C}"/>
                </c:ext>
              </c:extLst>
            </c:dLbl>
            <c:dLbl>
              <c:idx val="21"/>
              <c:layout>
                <c:manualLayout>
                  <c:x val="-3.5850703606145498E-5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050-4277-86BC-F50C62F1A01C}"/>
                </c:ext>
              </c:extLst>
            </c:dLbl>
            <c:dLbl>
              <c:idx val="22"/>
              <c:layout>
                <c:manualLayout>
                  <c:x val="2.149723714135405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050-4277-86BC-F50C62F1A01C}"/>
                </c:ext>
              </c:extLst>
            </c:dLbl>
            <c:dLbl>
              <c:idx val="23"/>
              <c:layout>
                <c:manualLayout>
                  <c:x val="1.558909141571511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050-4277-86BC-F50C62F1A01C}"/>
                </c:ext>
              </c:extLst>
            </c:dLbl>
            <c:dLbl>
              <c:idx val="24"/>
              <c:layout>
                <c:manualLayout>
                  <c:x val="2.188211422209969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050-4277-86BC-F50C62F1A01C}"/>
                </c:ext>
              </c:extLst>
            </c:dLbl>
            <c:dLbl>
              <c:idx val="25"/>
              <c:layout>
                <c:manualLayout>
                  <c:x val="3.1499646233293399E-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050-4277-86BC-F50C62F1A01C}"/>
                </c:ext>
              </c:extLst>
            </c:dLbl>
            <c:dLbl>
              <c:idx val="26"/>
              <c:layout>
                <c:manualLayout>
                  <c:x val="1.909756307510634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050-4277-86BC-F50C62F1A01C}"/>
                </c:ext>
              </c:extLst>
            </c:dLbl>
            <c:dLbl>
              <c:idx val="27"/>
              <c:layout>
                <c:manualLayout>
                  <c:x val="4.6840105799130557E-3"/>
                  <c:y val="1.3435249566227148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050-4277-86BC-F50C62F1A01C}"/>
                </c:ext>
              </c:extLst>
            </c:dLbl>
            <c:dLbl>
              <c:idx val="28"/>
              <c:layout>
                <c:manualLayout>
                  <c:x val="1.5555187072550209E-3"/>
                  <c:y val="1.3435249553714598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050-4277-86BC-F50C62F1A01C}"/>
                </c:ext>
              </c:extLst>
            </c:dLbl>
            <c:dLbl>
              <c:idx val="29"/>
              <c:layout>
                <c:manualLayout>
                  <c:x val="1.558909141571555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050-4277-86BC-F50C62F1A01C}"/>
                </c:ext>
              </c:extLst>
            </c:dLbl>
            <c:dLbl>
              <c:idx val="30"/>
              <c:layout>
                <c:manualLayout>
                  <c:x val="3.6165888425954934E-3"/>
                  <c:y val="1.3435249566227148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050-4277-86BC-F50C62F1A01C}"/>
                </c:ext>
              </c:extLst>
            </c:dLbl>
            <c:dLbl>
              <c:idx val="31"/>
              <c:layout>
                <c:manualLayout>
                  <c:x val="8.2745433069279198E-4"/>
                  <c:y val="1.2512551204966938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050-4277-86BC-F50C62F1A01C}"/>
                </c:ext>
              </c:extLst>
            </c:dLbl>
            <c:dLbl>
              <c:idx val="32"/>
              <c:layout>
                <c:manualLayout>
                  <c:x val="7.615292189826901E-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050-4277-86BC-F50C62F1A0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'table 1 &amp; 2'!$A$93:$A$125</c:f>
              <c:strCache>
                <c:ptCount val="33"/>
                <c:pt idx="0">
                  <c:v>Bernalillo</c:v>
                </c:pt>
                <c:pt idx="1">
                  <c:v>Catron</c:v>
                </c:pt>
                <c:pt idx="2">
                  <c:v>Chaves</c:v>
                </c:pt>
                <c:pt idx="3">
                  <c:v>Cibola</c:v>
                </c:pt>
                <c:pt idx="4">
                  <c:v>Colfax</c:v>
                </c:pt>
                <c:pt idx="5">
                  <c:v>Curry</c:v>
                </c:pt>
                <c:pt idx="6">
                  <c:v>De Baca</c:v>
                </c:pt>
                <c:pt idx="7">
                  <c:v>Dona Ana</c:v>
                </c:pt>
                <c:pt idx="8">
                  <c:v>Eddy</c:v>
                </c:pt>
                <c:pt idx="9">
                  <c:v>Grant</c:v>
                </c:pt>
                <c:pt idx="10">
                  <c:v>Guadalupe</c:v>
                </c:pt>
                <c:pt idx="11">
                  <c:v>Harding</c:v>
                </c:pt>
                <c:pt idx="12">
                  <c:v>Hidalgo</c:v>
                </c:pt>
                <c:pt idx="13">
                  <c:v>Lea</c:v>
                </c:pt>
                <c:pt idx="14">
                  <c:v>Lincoln</c:v>
                </c:pt>
                <c:pt idx="15">
                  <c:v>Los Alamos</c:v>
                </c:pt>
                <c:pt idx="16">
                  <c:v>Luna</c:v>
                </c:pt>
                <c:pt idx="17">
                  <c:v>McKinley</c:v>
                </c:pt>
                <c:pt idx="18">
                  <c:v>Mora</c:v>
                </c:pt>
                <c:pt idx="19">
                  <c:v>Otero</c:v>
                </c:pt>
                <c:pt idx="20">
                  <c:v>Quay</c:v>
                </c:pt>
                <c:pt idx="21">
                  <c:v>Rio Arriba</c:v>
                </c:pt>
                <c:pt idx="22">
                  <c:v>Roosevelt</c:v>
                </c:pt>
                <c:pt idx="23">
                  <c:v>San Juan</c:v>
                </c:pt>
                <c:pt idx="24">
                  <c:v>San Miguel</c:v>
                </c:pt>
                <c:pt idx="25">
                  <c:v>Sandoval</c:v>
                </c:pt>
                <c:pt idx="26">
                  <c:v>Santa Fe</c:v>
                </c:pt>
                <c:pt idx="27">
                  <c:v>Sierra</c:v>
                </c:pt>
                <c:pt idx="28">
                  <c:v>Socorro</c:v>
                </c:pt>
                <c:pt idx="29">
                  <c:v>Taos</c:v>
                </c:pt>
                <c:pt idx="30">
                  <c:v>Torrance</c:v>
                </c:pt>
                <c:pt idx="31">
                  <c:v>Union</c:v>
                </c:pt>
                <c:pt idx="32">
                  <c:v>Valencia</c:v>
                </c:pt>
              </c:strCache>
            </c:strRef>
          </c:cat>
          <c:val>
            <c:numRef>
              <c:f>'table 1 &amp; 2'!$B$93:$B$125</c:f>
              <c:numCache>
                <c:formatCode>#,##0</c:formatCode>
                <c:ptCount val="33"/>
                <c:pt idx="0">
                  <c:v>947435.24612000003</c:v>
                </c:pt>
                <c:pt idx="1">
                  <c:v>2796.0970700000003</c:v>
                </c:pt>
                <c:pt idx="2">
                  <c:v>41777.524910000007</c:v>
                </c:pt>
                <c:pt idx="3">
                  <c:v>13635.7888</c:v>
                </c:pt>
                <c:pt idx="4">
                  <c:v>21675.505070000003</c:v>
                </c:pt>
                <c:pt idx="5">
                  <c:v>28094.107810000001</c:v>
                </c:pt>
                <c:pt idx="6">
                  <c:v>2052.5993199999998</c:v>
                </c:pt>
                <c:pt idx="7">
                  <c:v>190030.19184000001</c:v>
                </c:pt>
                <c:pt idx="8">
                  <c:v>408622.17976999999</c:v>
                </c:pt>
                <c:pt idx="9">
                  <c:v>20940.971470000004</c:v>
                </c:pt>
                <c:pt idx="10">
                  <c:v>5661.3288700000003</c:v>
                </c:pt>
                <c:pt idx="11">
                  <c:v>1768.78232</c:v>
                </c:pt>
                <c:pt idx="12">
                  <c:v>4180.9472699999997</c:v>
                </c:pt>
                <c:pt idx="13">
                  <c:v>543143.79992000002</c:v>
                </c:pt>
                <c:pt idx="14">
                  <c:v>40055.891330000013</c:v>
                </c:pt>
                <c:pt idx="15">
                  <c:v>26925.448139999997</c:v>
                </c:pt>
                <c:pt idx="16">
                  <c:v>17103.434090000002</c:v>
                </c:pt>
                <c:pt idx="17">
                  <c:v>24237.278259999999</c:v>
                </c:pt>
                <c:pt idx="18">
                  <c:v>4086.7717400000001</c:v>
                </c:pt>
                <c:pt idx="19">
                  <c:v>38886.962249999997</c:v>
                </c:pt>
                <c:pt idx="20">
                  <c:v>7283.1476800000009</c:v>
                </c:pt>
                <c:pt idx="21">
                  <c:v>38073.48171</c:v>
                </c:pt>
                <c:pt idx="22">
                  <c:v>15694.553849999998</c:v>
                </c:pt>
                <c:pt idx="23">
                  <c:v>102108.99427</c:v>
                </c:pt>
                <c:pt idx="24">
                  <c:v>18634.1715</c:v>
                </c:pt>
                <c:pt idx="25">
                  <c:v>199298.10224999997</c:v>
                </c:pt>
                <c:pt idx="26">
                  <c:v>218320.21669999999</c:v>
                </c:pt>
                <c:pt idx="27">
                  <c:v>10369.049429999999</c:v>
                </c:pt>
                <c:pt idx="28">
                  <c:v>12176.896339999999</c:v>
                </c:pt>
                <c:pt idx="29">
                  <c:v>38641.111519999999</c:v>
                </c:pt>
                <c:pt idx="30">
                  <c:v>13544.321979999999</c:v>
                </c:pt>
                <c:pt idx="31">
                  <c:v>5194.3128800000004</c:v>
                </c:pt>
                <c:pt idx="32">
                  <c:v>72566.581070000015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E050-4277-86BC-F50C62F1A01C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72142400"/>
        <c:axId val="172141840"/>
      </c:barChart>
      <c:valAx>
        <c:axId val="172141840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142400"/>
        <c:crosses val="autoZero"/>
        <c:crossBetween val="between"/>
      </c:valAx>
      <c:catAx>
        <c:axId val="172142400"/>
        <c:scaling>
          <c:orientation val="maxMin"/>
        </c:scaling>
        <c:delete val="0"/>
        <c:axPos val="l"/>
        <c:numFmt formatCode="#,##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4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141840"/>
        <c:crosses val="autoZero"/>
        <c:auto val="0"/>
        <c:lblAlgn val="l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Net Taxable Values </a:t>
            </a:r>
          </a:p>
        </c:rich>
      </c:tx>
      <c:overlay val="1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'table 1 &amp; 2'!$A$9:$A$41</c:f>
              <c:strCache>
                <c:ptCount val="33"/>
                <c:pt idx="0">
                  <c:v>Bernalillo</c:v>
                </c:pt>
                <c:pt idx="1">
                  <c:v>Catron</c:v>
                </c:pt>
                <c:pt idx="2">
                  <c:v>Chaves</c:v>
                </c:pt>
                <c:pt idx="3">
                  <c:v>Cibola</c:v>
                </c:pt>
                <c:pt idx="4">
                  <c:v>Colfax</c:v>
                </c:pt>
                <c:pt idx="5">
                  <c:v>Curry</c:v>
                </c:pt>
                <c:pt idx="6">
                  <c:v>De Baca</c:v>
                </c:pt>
                <c:pt idx="7">
                  <c:v>Dona Ana</c:v>
                </c:pt>
                <c:pt idx="8">
                  <c:v>Eddy</c:v>
                </c:pt>
                <c:pt idx="9">
                  <c:v>Grant</c:v>
                </c:pt>
                <c:pt idx="10">
                  <c:v>Guadalupe</c:v>
                </c:pt>
                <c:pt idx="11">
                  <c:v>Harding</c:v>
                </c:pt>
                <c:pt idx="12">
                  <c:v>Hidalgo</c:v>
                </c:pt>
                <c:pt idx="13">
                  <c:v>Lea</c:v>
                </c:pt>
                <c:pt idx="14">
                  <c:v>Lincoln</c:v>
                </c:pt>
                <c:pt idx="15">
                  <c:v>Los Alamos</c:v>
                </c:pt>
                <c:pt idx="16">
                  <c:v>Luna</c:v>
                </c:pt>
                <c:pt idx="17">
                  <c:v>McKinley</c:v>
                </c:pt>
                <c:pt idx="18">
                  <c:v>Mora</c:v>
                </c:pt>
                <c:pt idx="19">
                  <c:v>Otero</c:v>
                </c:pt>
                <c:pt idx="20">
                  <c:v>Quay</c:v>
                </c:pt>
                <c:pt idx="21">
                  <c:v>Rio Arriba</c:v>
                </c:pt>
                <c:pt idx="22">
                  <c:v>Roosevelt</c:v>
                </c:pt>
                <c:pt idx="23">
                  <c:v>San Juan</c:v>
                </c:pt>
                <c:pt idx="24">
                  <c:v>San Miguel</c:v>
                </c:pt>
                <c:pt idx="25">
                  <c:v>Sandoval</c:v>
                </c:pt>
                <c:pt idx="26">
                  <c:v>Santa Fe</c:v>
                </c:pt>
                <c:pt idx="27">
                  <c:v>Sierra</c:v>
                </c:pt>
                <c:pt idx="28">
                  <c:v>Socorro</c:v>
                </c:pt>
                <c:pt idx="29">
                  <c:v>Taos</c:v>
                </c:pt>
                <c:pt idx="30">
                  <c:v>Torrance</c:v>
                </c:pt>
                <c:pt idx="31">
                  <c:v>Union</c:v>
                </c:pt>
                <c:pt idx="32">
                  <c:v>Valencia</c:v>
                </c:pt>
              </c:strCache>
            </c:strRef>
          </c:cat>
          <c:val>
            <c:numRef>
              <c:f>'table 1 &amp; 2'!$B$9:$B$41</c:f>
              <c:numCache>
                <c:formatCode>"$"#,##0</c:formatCode>
                <c:ptCount val="33"/>
                <c:pt idx="0">
                  <c:v>22638884366</c:v>
                </c:pt>
                <c:pt idx="1">
                  <c:v>171360670</c:v>
                </c:pt>
                <c:pt idx="2">
                  <c:v>1700651171.6199999</c:v>
                </c:pt>
                <c:pt idx="3">
                  <c:v>418940480</c:v>
                </c:pt>
                <c:pt idx="4">
                  <c:v>775786148.89999998</c:v>
                </c:pt>
                <c:pt idx="5">
                  <c:v>1232672967</c:v>
                </c:pt>
                <c:pt idx="6">
                  <c:v>108012441</c:v>
                </c:pt>
                <c:pt idx="7">
                  <c:v>6336592781</c:v>
                </c:pt>
                <c:pt idx="8">
                  <c:v>19231451836.360001</c:v>
                </c:pt>
                <c:pt idx="9">
                  <c:v>917257849</c:v>
                </c:pt>
                <c:pt idx="10">
                  <c:v>209790265</c:v>
                </c:pt>
                <c:pt idx="11">
                  <c:v>75627908.969999999</c:v>
                </c:pt>
                <c:pt idx="12">
                  <c:v>195372050</c:v>
                </c:pt>
                <c:pt idx="13">
                  <c:v>22892061991.169998</c:v>
                </c:pt>
                <c:pt idx="14">
                  <c:v>1722294865</c:v>
                </c:pt>
                <c:pt idx="15">
                  <c:v>1105538877</c:v>
                </c:pt>
                <c:pt idx="16">
                  <c:v>709756727</c:v>
                </c:pt>
                <c:pt idx="17">
                  <c:v>740474224.12</c:v>
                </c:pt>
                <c:pt idx="18">
                  <c:v>177843626</c:v>
                </c:pt>
                <c:pt idx="19">
                  <c:v>1619745376</c:v>
                </c:pt>
                <c:pt idx="20">
                  <c:v>282371458.57999998</c:v>
                </c:pt>
                <c:pt idx="21">
                  <c:v>1392711836.8</c:v>
                </c:pt>
                <c:pt idx="22">
                  <c:v>700407328.48000002</c:v>
                </c:pt>
                <c:pt idx="23">
                  <c:v>4176112641.7599998</c:v>
                </c:pt>
                <c:pt idx="24">
                  <c:v>759444627</c:v>
                </c:pt>
                <c:pt idx="25">
                  <c:v>6233363889.6300001</c:v>
                </c:pt>
                <c:pt idx="26">
                  <c:v>10565830364</c:v>
                </c:pt>
                <c:pt idx="27">
                  <c:v>375435590</c:v>
                </c:pt>
                <c:pt idx="28">
                  <c:v>374949464</c:v>
                </c:pt>
                <c:pt idx="29">
                  <c:v>1878300665</c:v>
                </c:pt>
                <c:pt idx="30">
                  <c:v>592975826</c:v>
                </c:pt>
                <c:pt idx="31">
                  <c:v>200903875.87</c:v>
                </c:pt>
                <c:pt idx="32">
                  <c:v>2244704758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85-4C55-ABD2-5D19E6612D4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172145200"/>
        <c:axId val="172362928"/>
        <c:axId val="0"/>
      </c:bar3DChart>
      <c:catAx>
        <c:axId val="172145200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crossAx val="172362928"/>
        <c:crosses val="autoZero"/>
        <c:auto val="1"/>
        <c:lblAlgn val="ctr"/>
        <c:lblOffset val="100"/>
        <c:noMultiLvlLbl val="0"/>
      </c:catAx>
      <c:valAx>
        <c:axId val="172362928"/>
        <c:scaling>
          <c:orientation val="minMax"/>
        </c:scaling>
        <c:delete val="0"/>
        <c:axPos val="t"/>
        <c:majorGridlines/>
        <c:numFmt formatCode="&quot;$&quot;#,##0" sourceLinked="1"/>
        <c:majorTickMark val="none"/>
        <c:minorTickMark val="none"/>
        <c:tickLblPos val="nextTo"/>
        <c:crossAx val="172145200"/>
        <c:crosses val="autoZero"/>
        <c:crossBetween val="between"/>
        <c:dispUnits>
          <c:builtInUnit val="thousands"/>
          <c:dispUnitsLbl/>
        </c:dispUnits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0.11580014893681466"/>
          <c:y val="0.20533671593189889"/>
          <c:w val="0.72599551010322194"/>
          <c:h val="0.53378177326764631"/>
        </c:manualLayout>
      </c:layout>
      <c:barChart>
        <c:barDir val="col"/>
        <c:grouping val="clustered"/>
        <c:varyColors val="0"/>
        <c:ser>
          <c:idx val="0"/>
          <c:order val="0"/>
          <c:tx>
            <c:v>Imposed Operating Rate in Mills</c:v>
          </c:tx>
          <c:invertIfNegative val="0"/>
          <c:cat>
            <c:strRef>
              <c:f>'Table 8'!$B$9:$B$41</c:f>
              <c:strCache>
                <c:ptCount val="33"/>
                <c:pt idx="0">
                  <c:v>Bernalillo</c:v>
                </c:pt>
                <c:pt idx="1">
                  <c:v>Catron</c:v>
                </c:pt>
                <c:pt idx="2">
                  <c:v>Chaves</c:v>
                </c:pt>
                <c:pt idx="3">
                  <c:v>Cibola</c:v>
                </c:pt>
                <c:pt idx="4">
                  <c:v>Colfax</c:v>
                </c:pt>
                <c:pt idx="5">
                  <c:v>Curry</c:v>
                </c:pt>
                <c:pt idx="6">
                  <c:v>De Baca</c:v>
                </c:pt>
                <c:pt idx="7">
                  <c:v>Dona Ana</c:v>
                </c:pt>
                <c:pt idx="8">
                  <c:v>Eddy</c:v>
                </c:pt>
                <c:pt idx="9">
                  <c:v>Grant</c:v>
                </c:pt>
                <c:pt idx="10">
                  <c:v>Guadalupe</c:v>
                </c:pt>
                <c:pt idx="11">
                  <c:v>Harding</c:v>
                </c:pt>
                <c:pt idx="12">
                  <c:v>Hidalgo</c:v>
                </c:pt>
                <c:pt idx="13">
                  <c:v>Lea</c:v>
                </c:pt>
                <c:pt idx="14">
                  <c:v>Lincoln</c:v>
                </c:pt>
                <c:pt idx="15">
                  <c:v>Los Alamos</c:v>
                </c:pt>
                <c:pt idx="16">
                  <c:v>Luna</c:v>
                </c:pt>
                <c:pt idx="17">
                  <c:v>McKinley</c:v>
                </c:pt>
                <c:pt idx="18">
                  <c:v>Mora</c:v>
                </c:pt>
                <c:pt idx="19">
                  <c:v>Otero</c:v>
                </c:pt>
                <c:pt idx="20">
                  <c:v>Quay</c:v>
                </c:pt>
                <c:pt idx="21">
                  <c:v>Rio Arriba</c:v>
                </c:pt>
                <c:pt idx="22">
                  <c:v>Roosevelt</c:v>
                </c:pt>
                <c:pt idx="23">
                  <c:v>San Juan</c:v>
                </c:pt>
                <c:pt idx="24">
                  <c:v>San Miguel</c:v>
                </c:pt>
                <c:pt idx="25">
                  <c:v>Sandoval</c:v>
                </c:pt>
                <c:pt idx="26">
                  <c:v>Santa Fe</c:v>
                </c:pt>
                <c:pt idx="27">
                  <c:v>Sierra</c:v>
                </c:pt>
                <c:pt idx="28">
                  <c:v>Socorro</c:v>
                </c:pt>
                <c:pt idx="29">
                  <c:v>Taos</c:v>
                </c:pt>
                <c:pt idx="30">
                  <c:v>Torrance</c:v>
                </c:pt>
                <c:pt idx="31">
                  <c:v>Union</c:v>
                </c:pt>
                <c:pt idx="32">
                  <c:v>Valencia</c:v>
                </c:pt>
              </c:strCache>
            </c:strRef>
          </c:cat>
          <c:val>
            <c:numRef>
              <c:f>'Table 8'!$F$9:$F$41</c:f>
              <c:numCache>
                <c:formatCode>#,##0.000</c:formatCode>
                <c:ptCount val="33"/>
                <c:pt idx="0">
                  <c:v>10.75</c:v>
                </c:pt>
                <c:pt idx="1">
                  <c:v>11.85</c:v>
                </c:pt>
                <c:pt idx="2">
                  <c:v>10.35</c:v>
                </c:pt>
                <c:pt idx="3">
                  <c:v>11.85</c:v>
                </c:pt>
                <c:pt idx="4">
                  <c:v>11.85</c:v>
                </c:pt>
                <c:pt idx="5">
                  <c:v>9.85</c:v>
                </c:pt>
                <c:pt idx="6">
                  <c:v>11.85</c:v>
                </c:pt>
                <c:pt idx="7">
                  <c:v>11.85</c:v>
                </c:pt>
                <c:pt idx="8">
                  <c:v>7.5</c:v>
                </c:pt>
                <c:pt idx="9">
                  <c:v>11.85</c:v>
                </c:pt>
                <c:pt idx="10">
                  <c:v>11.85</c:v>
                </c:pt>
                <c:pt idx="11">
                  <c:v>10.85</c:v>
                </c:pt>
                <c:pt idx="12">
                  <c:v>11.85</c:v>
                </c:pt>
                <c:pt idx="13">
                  <c:v>10.6</c:v>
                </c:pt>
                <c:pt idx="14">
                  <c:v>11.6</c:v>
                </c:pt>
                <c:pt idx="15">
                  <c:v>8.85</c:v>
                </c:pt>
                <c:pt idx="16">
                  <c:v>11.85</c:v>
                </c:pt>
                <c:pt idx="17">
                  <c:v>11.85</c:v>
                </c:pt>
                <c:pt idx="18">
                  <c:v>11.85</c:v>
                </c:pt>
                <c:pt idx="19">
                  <c:v>11.85</c:v>
                </c:pt>
                <c:pt idx="20">
                  <c:v>11.85</c:v>
                </c:pt>
                <c:pt idx="21">
                  <c:v>11.85</c:v>
                </c:pt>
                <c:pt idx="22">
                  <c:v>11.85</c:v>
                </c:pt>
                <c:pt idx="23">
                  <c:v>8.5</c:v>
                </c:pt>
                <c:pt idx="24">
                  <c:v>11.85</c:v>
                </c:pt>
                <c:pt idx="25">
                  <c:v>10.35</c:v>
                </c:pt>
                <c:pt idx="26">
                  <c:v>11.85</c:v>
                </c:pt>
                <c:pt idx="27">
                  <c:v>11.85</c:v>
                </c:pt>
                <c:pt idx="28">
                  <c:v>11.85</c:v>
                </c:pt>
                <c:pt idx="29">
                  <c:v>11.85</c:v>
                </c:pt>
                <c:pt idx="30">
                  <c:v>11.85</c:v>
                </c:pt>
                <c:pt idx="31">
                  <c:v>11.85</c:v>
                </c:pt>
                <c:pt idx="32">
                  <c:v>11.85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57-496F-9040-508B6431E8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2365728"/>
        <c:axId val="172366288"/>
      </c:barChart>
      <c:catAx>
        <c:axId val="1723657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72366288"/>
        <c:crosses val="autoZero"/>
        <c:auto val="0"/>
        <c:lblAlgn val="ctr"/>
        <c:lblOffset val="100"/>
        <c:tickLblSkip val="1"/>
        <c:noMultiLvlLbl val="0"/>
      </c:catAx>
      <c:valAx>
        <c:axId val="172366288"/>
        <c:scaling>
          <c:orientation val="minMax"/>
          <c:max val="12"/>
          <c:min val="7"/>
        </c:scaling>
        <c:delete val="0"/>
        <c:axPos val="l"/>
        <c:majorGridlines/>
        <c:numFmt formatCode="#,##0.000" sourceLinked="1"/>
        <c:majorTickMark val="out"/>
        <c:minorTickMark val="none"/>
        <c:tickLblPos val="nextTo"/>
        <c:crossAx val="172365728"/>
        <c:crosses val="autoZero"/>
        <c:crossBetween val="between"/>
        <c:majorUnit val="0.5"/>
      </c:valAx>
    </c:plotArea>
    <c:legend>
      <c:legendPos val="r"/>
      <c:layout>
        <c:manualLayout>
          <c:xMode val="edge"/>
          <c:yMode val="edge"/>
          <c:x val="0.83878498474598751"/>
          <c:y val="0.25224851572697798"/>
          <c:w val="0.1479506565857541"/>
          <c:h val="0.59788692857243109"/>
        </c:manualLayout>
      </c:layout>
      <c:overlay val="0"/>
    </c:legend>
    <c:plotVisOnly val="0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'Table 19'!$B$11:$B$64</c:f>
              <c:strCache>
                <c:ptCount val="54"/>
                <c:pt idx="0">
                  <c:v>Alamogordo</c:v>
                </c:pt>
                <c:pt idx="1">
                  <c:v>Albuquerque</c:v>
                </c:pt>
                <c:pt idx="2">
                  <c:v>Angel Fire</c:v>
                </c:pt>
                <c:pt idx="3">
                  <c:v>Anthony</c:v>
                </c:pt>
                <c:pt idx="4">
                  <c:v>Artesia</c:v>
                </c:pt>
                <c:pt idx="5">
                  <c:v>Aztec</c:v>
                </c:pt>
                <c:pt idx="6">
                  <c:v>Bayard</c:v>
                </c:pt>
                <c:pt idx="7">
                  <c:v>Belen</c:v>
                </c:pt>
                <c:pt idx="8">
                  <c:v>Bernalillo</c:v>
                </c:pt>
                <c:pt idx="9">
                  <c:v>Bloomfield</c:v>
                </c:pt>
                <c:pt idx="10">
                  <c:v>Bosque Farms</c:v>
                </c:pt>
                <c:pt idx="11">
                  <c:v>Capitan</c:v>
                </c:pt>
                <c:pt idx="12">
                  <c:v>Carlsbad</c:v>
                </c:pt>
                <c:pt idx="13">
                  <c:v>Carrizozo</c:v>
                </c:pt>
                <c:pt idx="14">
                  <c:v>Causey</c:v>
                </c:pt>
                <c:pt idx="15">
                  <c:v>Chama</c:v>
                </c:pt>
                <c:pt idx="16">
                  <c:v>Cimarron</c:v>
                </c:pt>
                <c:pt idx="17">
                  <c:v>Clayton</c:v>
                </c:pt>
                <c:pt idx="18">
                  <c:v>Cloudcroft</c:v>
                </c:pt>
                <c:pt idx="19">
                  <c:v>Clovis</c:v>
                </c:pt>
                <c:pt idx="20">
                  <c:v>Columbus</c:v>
                </c:pt>
                <c:pt idx="21">
                  <c:v>Corona</c:v>
                </c:pt>
                <c:pt idx="22">
                  <c:v>Corrales</c:v>
                </c:pt>
                <c:pt idx="23">
                  <c:v>Cuba</c:v>
                </c:pt>
                <c:pt idx="24">
                  <c:v>Deming</c:v>
                </c:pt>
                <c:pt idx="25">
                  <c:v>Des Moines</c:v>
                </c:pt>
                <c:pt idx="26">
                  <c:v>Dexter</c:v>
                </c:pt>
                <c:pt idx="27">
                  <c:v>Dora</c:v>
                </c:pt>
                <c:pt idx="28">
                  <c:v>Eagle Nest</c:v>
                </c:pt>
                <c:pt idx="29">
                  <c:v>Edgewood</c:v>
                </c:pt>
                <c:pt idx="30">
                  <c:v>Elephant Butte</c:v>
                </c:pt>
                <c:pt idx="31">
                  <c:v>Elida</c:v>
                </c:pt>
                <c:pt idx="32">
                  <c:v>Encino</c:v>
                </c:pt>
                <c:pt idx="33">
                  <c:v>Espanola</c:v>
                </c:pt>
                <c:pt idx="34">
                  <c:v>Estancia</c:v>
                </c:pt>
                <c:pt idx="35">
                  <c:v>Eunice</c:v>
                </c:pt>
                <c:pt idx="36">
                  <c:v>Farmington</c:v>
                </c:pt>
                <c:pt idx="37">
                  <c:v>Floyd</c:v>
                </c:pt>
                <c:pt idx="38">
                  <c:v>Folsom</c:v>
                </c:pt>
                <c:pt idx="39">
                  <c:v>Fort Sumner</c:v>
                </c:pt>
                <c:pt idx="40">
                  <c:v>Gallup</c:v>
                </c:pt>
                <c:pt idx="41">
                  <c:v>Grady</c:v>
                </c:pt>
                <c:pt idx="42">
                  <c:v>Grants</c:v>
                </c:pt>
                <c:pt idx="43">
                  <c:v>Grenville</c:v>
                </c:pt>
                <c:pt idx="44">
                  <c:v>Hagerman</c:v>
                </c:pt>
                <c:pt idx="45">
                  <c:v>Hatch</c:v>
                </c:pt>
                <c:pt idx="46">
                  <c:v>Hobbs</c:v>
                </c:pt>
                <c:pt idx="47">
                  <c:v>Hope</c:v>
                </c:pt>
                <c:pt idx="48">
                  <c:v>House</c:v>
                </c:pt>
                <c:pt idx="49">
                  <c:v>Hurley</c:v>
                </c:pt>
                <c:pt idx="50">
                  <c:v>Jal</c:v>
                </c:pt>
                <c:pt idx="51">
                  <c:v>Jemez Springs</c:v>
                </c:pt>
                <c:pt idx="52">
                  <c:v>Kirtland*</c:v>
                </c:pt>
                <c:pt idx="53">
                  <c:v>Lake Arthur</c:v>
                </c:pt>
              </c:strCache>
            </c:strRef>
          </c:cat>
          <c:val>
            <c:numRef>
              <c:f>'Table 19'!$E$11:$E$64</c:f>
              <c:numCache>
                <c:formatCode>0.000</c:formatCode>
                <c:ptCount val="54"/>
                <c:pt idx="0">
                  <c:v>7.0640000000000001</c:v>
                </c:pt>
                <c:pt idx="1">
                  <c:v>6.5439999999999996</c:v>
                </c:pt>
                <c:pt idx="2">
                  <c:v>7.65</c:v>
                </c:pt>
                <c:pt idx="3">
                  <c:v>3</c:v>
                </c:pt>
                <c:pt idx="4">
                  <c:v>3.5</c:v>
                </c:pt>
                <c:pt idx="5">
                  <c:v>6.8730000000000002</c:v>
                </c:pt>
                <c:pt idx="6">
                  <c:v>5.2249999999999996</c:v>
                </c:pt>
                <c:pt idx="7">
                  <c:v>7.65</c:v>
                </c:pt>
                <c:pt idx="8">
                  <c:v>5.7249999999999996</c:v>
                </c:pt>
                <c:pt idx="9">
                  <c:v>7</c:v>
                </c:pt>
                <c:pt idx="10">
                  <c:v>4.2249999999999996</c:v>
                </c:pt>
                <c:pt idx="11">
                  <c:v>4.2249999999999996</c:v>
                </c:pt>
                <c:pt idx="12">
                  <c:v>6.2249999999999996</c:v>
                </c:pt>
                <c:pt idx="13">
                  <c:v>7.65</c:v>
                </c:pt>
                <c:pt idx="14">
                  <c:v>2.2250000000000001</c:v>
                </c:pt>
                <c:pt idx="15">
                  <c:v>5.2249999999999996</c:v>
                </c:pt>
                <c:pt idx="16">
                  <c:v>7.65</c:v>
                </c:pt>
                <c:pt idx="17">
                  <c:v>4.9379999999999997</c:v>
                </c:pt>
                <c:pt idx="18">
                  <c:v>2.2250000000000001</c:v>
                </c:pt>
                <c:pt idx="19">
                  <c:v>4.7249999999999996</c:v>
                </c:pt>
                <c:pt idx="20">
                  <c:v>7.65</c:v>
                </c:pt>
                <c:pt idx="21">
                  <c:v>4.4249999999999998</c:v>
                </c:pt>
                <c:pt idx="22">
                  <c:v>6.87</c:v>
                </c:pt>
                <c:pt idx="23">
                  <c:v>7.65</c:v>
                </c:pt>
                <c:pt idx="24">
                  <c:v>4.4749999999999996</c:v>
                </c:pt>
                <c:pt idx="25">
                  <c:v>4.9379999999999997</c:v>
                </c:pt>
                <c:pt idx="26">
                  <c:v>2.2250000000000001</c:v>
                </c:pt>
                <c:pt idx="27">
                  <c:v>2.2250000000000001</c:v>
                </c:pt>
                <c:pt idx="28">
                  <c:v>3.2250000000000001</c:v>
                </c:pt>
                <c:pt idx="29">
                  <c:v>3</c:v>
                </c:pt>
                <c:pt idx="30">
                  <c:v>4.2249999999999996</c:v>
                </c:pt>
                <c:pt idx="31">
                  <c:v>2.2250000000000001</c:v>
                </c:pt>
                <c:pt idx="32">
                  <c:v>2.2250000000000001</c:v>
                </c:pt>
                <c:pt idx="33">
                  <c:v>7.65</c:v>
                </c:pt>
                <c:pt idx="34">
                  <c:v>2.75</c:v>
                </c:pt>
                <c:pt idx="35">
                  <c:v>7.65</c:v>
                </c:pt>
                <c:pt idx="36">
                  <c:v>7.65</c:v>
                </c:pt>
                <c:pt idx="37">
                  <c:v>2.2250000000000001</c:v>
                </c:pt>
                <c:pt idx="38">
                  <c:v>5.4249999999999998</c:v>
                </c:pt>
                <c:pt idx="39">
                  <c:v>2.2250000000000001</c:v>
                </c:pt>
                <c:pt idx="40">
                  <c:v>7.65</c:v>
                </c:pt>
                <c:pt idx="41">
                  <c:v>7.65</c:v>
                </c:pt>
                <c:pt idx="42">
                  <c:v>4.5549999999999997</c:v>
                </c:pt>
                <c:pt idx="43">
                  <c:v>7.65</c:v>
                </c:pt>
                <c:pt idx="44">
                  <c:v>2.2250000000000001</c:v>
                </c:pt>
                <c:pt idx="45">
                  <c:v>5.5</c:v>
                </c:pt>
                <c:pt idx="46">
                  <c:v>5.5549999999999997</c:v>
                </c:pt>
                <c:pt idx="47">
                  <c:v>7.65</c:v>
                </c:pt>
                <c:pt idx="48">
                  <c:v>7.65</c:v>
                </c:pt>
                <c:pt idx="49">
                  <c:v>5.2249999999999996</c:v>
                </c:pt>
                <c:pt idx="50">
                  <c:v>7.65</c:v>
                </c:pt>
                <c:pt idx="51">
                  <c:v>5.95</c:v>
                </c:pt>
                <c:pt idx="52">
                  <c:v>0</c:v>
                </c:pt>
                <c:pt idx="53">
                  <c:v>2.2250000000000001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B8-4644-A5EF-E775BA74CF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5856448"/>
        <c:axId val="175857008"/>
      </c:barChart>
      <c:catAx>
        <c:axId val="1758564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75857008"/>
        <c:crossesAt val="0"/>
        <c:auto val="0"/>
        <c:lblAlgn val="ctr"/>
        <c:lblOffset val="100"/>
        <c:tickLblSkip val="1"/>
        <c:noMultiLvlLbl val="0"/>
      </c:catAx>
      <c:valAx>
        <c:axId val="175857008"/>
        <c:scaling>
          <c:orientation val="minMax"/>
          <c:max val="8"/>
          <c:min val="2"/>
        </c:scaling>
        <c:delete val="0"/>
        <c:axPos val="l"/>
        <c:majorGridlines/>
        <c:numFmt formatCode="0.000" sourceLinked="1"/>
        <c:majorTickMark val="in"/>
        <c:minorTickMark val="none"/>
        <c:tickLblPos val="nextTo"/>
        <c:crossAx val="17585644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'Table 19'!$H$11:$H$62</c:f>
              <c:strCache>
                <c:ptCount val="52"/>
                <c:pt idx="0">
                  <c:v>Las Cruces</c:v>
                </c:pt>
                <c:pt idx="1">
                  <c:v>Las Vegas</c:v>
                </c:pt>
                <c:pt idx="2">
                  <c:v>Logan</c:v>
                </c:pt>
                <c:pt idx="3">
                  <c:v>Lordsburg</c:v>
                </c:pt>
                <c:pt idx="4">
                  <c:v>Los Alamos</c:v>
                </c:pt>
                <c:pt idx="5">
                  <c:v>Los Lunas</c:v>
                </c:pt>
                <c:pt idx="6">
                  <c:v>Los Ranchos*</c:v>
                </c:pt>
                <c:pt idx="7">
                  <c:v>Loving</c:v>
                </c:pt>
                <c:pt idx="8">
                  <c:v>Lovington</c:v>
                </c:pt>
                <c:pt idx="9">
                  <c:v>Magdalena</c:v>
                </c:pt>
                <c:pt idx="10">
                  <c:v>Maxwell</c:v>
                </c:pt>
                <c:pt idx="11">
                  <c:v>Melrose</c:v>
                </c:pt>
                <c:pt idx="12">
                  <c:v>Mesilla</c:v>
                </c:pt>
                <c:pt idx="13">
                  <c:v>Milan</c:v>
                </c:pt>
                <c:pt idx="14">
                  <c:v>Moriarty</c:v>
                </c:pt>
                <c:pt idx="15">
                  <c:v>Mosquero</c:v>
                </c:pt>
                <c:pt idx="16">
                  <c:v>Mountainair</c:v>
                </c:pt>
                <c:pt idx="17">
                  <c:v>Pecos</c:v>
                </c:pt>
                <c:pt idx="18">
                  <c:v>Peralta</c:v>
                </c:pt>
                <c:pt idx="19">
                  <c:v>Portales</c:v>
                </c:pt>
                <c:pt idx="20">
                  <c:v>Questa</c:v>
                </c:pt>
                <c:pt idx="21">
                  <c:v>Raton</c:v>
                </c:pt>
                <c:pt idx="22">
                  <c:v>Red River</c:v>
                </c:pt>
                <c:pt idx="23">
                  <c:v>Reserve</c:v>
                </c:pt>
                <c:pt idx="24">
                  <c:v>Rio Communites</c:v>
                </c:pt>
                <c:pt idx="25">
                  <c:v>Rio Rancho</c:v>
                </c:pt>
                <c:pt idx="26">
                  <c:v>Roswell</c:v>
                </c:pt>
                <c:pt idx="27">
                  <c:v>Roy</c:v>
                </c:pt>
                <c:pt idx="28">
                  <c:v>Ruidoso</c:v>
                </c:pt>
                <c:pt idx="29">
                  <c:v>Ruidoso Downs</c:v>
                </c:pt>
                <c:pt idx="30">
                  <c:v>San Jon</c:v>
                </c:pt>
                <c:pt idx="31">
                  <c:v>San Ysidro</c:v>
                </c:pt>
                <c:pt idx="32">
                  <c:v>Santa Clara</c:v>
                </c:pt>
                <c:pt idx="33">
                  <c:v>Santa Fe</c:v>
                </c:pt>
                <c:pt idx="34">
                  <c:v>Santa Rosa</c:v>
                </c:pt>
                <c:pt idx="35">
                  <c:v>Silver City</c:v>
                </c:pt>
                <c:pt idx="36">
                  <c:v>Socorro</c:v>
                </c:pt>
                <c:pt idx="37">
                  <c:v>Springer</c:v>
                </c:pt>
                <c:pt idx="38">
                  <c:v>Sunland Park</c:v>
                </c:pt>
                <c:pt idx="39">
                  <c:v>Taos</c:v>
                </c:pt>
                <c:pt idx="40">
                  <c:v>Taos Ski Valley</c:v>
                </c:pt>
                <c:pt idx="41">
                  <c:v>Tatum</c:v>
                </c:pt>
                <c:pt idx="42">
                  <c:v>Texico</c:v>
                </c:pt>
                <c:pt idx="43">
                  <c:v>Tijeras</c:v>
                </c:pt>
                <c:pt idx="44">
                  <c:v>Truth or Consequences</c:v>
                </c:pt>
                <c:pt idx="45">
                  <c:v>Tucumcari</c:v>
                </c:pt>
                <c:pt idx="46">
                  <c:v>Tularosa</c:v>
                </c:pt>
                <c:pt idx="47">
                  <c:v>Vaughn</c:v>
                </c:pt>
                <c:pt idx="48">
                  <c:v>Virden</c:v>
                </c:pt>
                <c:pt idx="49">
                  <c:v>Wagon Mound</c:v>
                </c:pt>
                <c:pt idx="50">
                  <c:v>Willard</c:v>
                </c:pt>
                <c:pt idx="51">
                  <c:v>Williamsburg</c:v>
                </c:pt>
              </c:strCache>
            </c:strRef>
          </c:cat>
          <c:val>
            <c:numRef>
              <c:f>'Table 19'!$K$11:$K$62</c:f>
              <c:numCache>
                <c:formatCode>0.000</c:formatCode>
                <c:ptCount val="52"/>
                <c:pt idx="0">
                  <c:v>5.12</c:v>
                </c:pt>
                <c:pt idx="1">
                  <c:v>7.65</c:v>
                </c:pt>
                <c:pt idx="2">
                  <c:v>7.65</c:v>
                </c:pt>
                <c:pt idx="3">
                  <c:v>3.2250000000000001</c:v>
                </c:pt>
                <c:pt idx="4">
                  <c:v>3.9980000000000002</c:v>
                </c:pt>
                <c:pt idx="5">
                  <c:v>7.65</c:v>
                </c:pt>
                <c:pt idx="6">
                  <c:v>0</c:v>
                </c:pt>
                <c:pt idx="7">
                  <c:v>2.2250000000000001</c:v>
                </c:pt>
                <c:pt idx="8">
                  <c:v>5.65</c:v>
                </c:pt>
                <c:pt idx="9">
                  <c:v>2.2250000000000001</c:v>
                </c:pt>
                <c:pt idx="10">
                  <c:v>7.65</c:v>
                </c:pt>
                <c:pt idx="11">
                  <c:v>2.2250000000000001</c:v>
                </c:pt>
                <c:pt idx="12">
                  <c:v>2.34</c:v>
                </c:pt>
                <c:pt idx="13">
                  <c:v>7.65</c:v>
                </c:pt>
                <c:pt idx="14">
                  <c:v>2.2250000000000001</c:v>
                </c:pt>
                <c:pt idx="15">
                  <c:v>2.2250000000000001</c:v>
                </c:pt>
                <c:pt idx="16">
                  <c:v>7.65</c:v>
                </c:pt>
                <c:pt idx="17">
                  <c:v>2.2250000000000001</c:v>
                </c:pt>
                <c:pt idx="18">
                  <c:v>3.0019999999999998</c:v>
                </c:pt>
                <c:pt idx="19">
                  <c:v>4.6950000000000003</c:v>
                </c:pt>
                <c:pt idx="20">
                  <c:v>5.2249999999999996</c:v>
                </c:pt>
                <c:pt idx="21">
                  <c:v>7.65</c:v>
                </c:pt>
                <c:pt idx="22">
                  <c:v>7.65</c:v>
                </c:pt>
                <c:pt idx="23">
                  <c:v>2.2250000000000001</c:v>
                </c:pt>
                <c:pt idx="24">
                  <c:v>2.75</c:v>
                </c:pt>
                <c:pt idx="25">
                  <c:v>7.65</c:v>
                </c:pt>
                <c:pt idx="26">
                  <c:v>7.65</c:v>
                </c:pt>
                <c:pt idx="27">
                  <c:v>2.2250000000000001</c:v>
                </c:pt>
                <c:pt idx="28">
                  <c:v>6.3680000000000003</c:v>
                </c:pt>
                <c:pt idx="29">
                  <c:v>7.65</c:v>
                </c:pt>
                <c:pt idx="30">
                  <c:v>7.65</c:v>
                </c:pt>
                <c:pt idx="31">
                  <c:v>7.65</c:v>
                </c:pt>
                <c:pt idx="32">
                  <c:v>4.2249999999999996</c:v>
                </c:pt>
                <c:pt idx="33">
                  <c:v>3.1829999999999998</c:v>
                </c:pt>
                <c:pt idx="34">
                  <c:v>4.9379999999999997</c:v>
                </c:pt>
                <c:pt idx="35">
                  <c:v>3.8250000000000002</c:v>
                </c:pt>
                <c:pt idx="36">
                  <c:v>5.8129999999999997</c:v>
                </c:pt>
                <c:pt idx="37">
                  <c:v>7.65</c:v>
                </c:pt>
                <c:pt idx="38">
                  <c:v>7.65</c:v>
                </c:pt>
                <c:pt idx="39">
                  <c:v>4.2249999999999996</c:v>
                </c:pt>
                <c:pt idx="40">
                  <c:v>7.65</c:v>
                </c:pt>
                <c:pt idx="41">
                  <c:v>4.2249999999999996</c:v>
                </c:pt>
                <c:pt idx="42">
                  <c:v>2.2250000000000001</c:v>
                </c:pt>
                <c:pt idx="43">
                  <c:v>2.2250000000000001</c:v>
                </c:pt>
                <c:pt idx="44">
                  <c:v>2.2250000000000001</c:v>
                </c:pt>
                <c:pt idx="45">
                  <c:v>7.65</c:v>
                </c:pt>
                <c:pt idx="46">
                  <c:v>7.65</c:v>
                </c:pt>
                <c:pt idx="47">
                  <c:v>7.65</c:v>
                </c:pt>
                <c:pt idx="48">
                  <c:v>2.2250000000000001</c:v>
                </c:pt>
                <c:pt idx="49">
                  <c:v>7.65</c:v>
                </c:pt>
                <c:pt idx="50">
                  <c:v>5.2249999999999996</c:v>
                </c:pt>
                <c:pt idx="51">
                  <c:v>2.2250000000000001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4C-4CB0-9D17-9FFFDEB1BB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5859248"/>
        <c:axId val="174170896"/>
      </c:barChart>
      <c:catAx>
        <c:axId val="1758592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74170896"/>
        <c:crosses val="autoZero"/>
        <c:auto val="0"/>
        <c:lblAlgn val="ctr"/>
        <c:lblOffset val="100"/>
        <c:tickLblSkip val="1"/>
        <c:noMultiLvlLbl val="0"/>
      </c:catAx>
      <c:valAx>
        <c:axId val="174170896"/>
        <c:scaling>
          <c:orientation val="minMax"/>
          <c:max val="8"/>
          <c:min val="2"/>
        </c:scaling>
        <c:delete val="0"/>
        <c:axPos val="l"/>
        <c:majorGridlines/>
        <c:numFmt formatCode="0.000" sourceLinked="1"/>
        <c:majorTickMark val="in"/>
        <c:minorTickMark val="none"/>
        <c:tickLblPos val="nextTo"/>
        <c:crossAx val="17585924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00" baseline="0"/>
              <a:t>Figure 4: New Mexico Municipalities with Over $1 Billion in Net Taxable Value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CC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numFmt formatCode="\$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'Table 20 part 1'!$T$10:$T$14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'Table 20 part 1'!$S$10:$S$14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FCE8-49FA-941E-02B5293C17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4173136"/>
        <c:axId val="174173696"/>
      </c:barChart>
      <c:catAx>
        <c:axId val="17417313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4173696"/>
        <c:crosses val="autoZero"/>
        <c:auto val="0"/>
        <c:lblAlgn val="ctr"/>
        <c:lblOffset val="100"/>
        <c:tickMarkSkip val="1"/>
        <c:noMultiLvlLbl val="0"/>
      </c:catAx>
      <c:valAx>
        <c:axId val="1741736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1000" baseline="0"/>
                  <a:t>Net Taxable Value ($Millions)</a:t>
                </a:r>
              </a:p>
            </c:rich>
          </c:tx>
          <c:layout>
            <c:manualLayout>
              <c:xMode val="edge"/>
              <c:yMode val="edge"/>
              <c:x val="0.38921123790583623"/>
              <c:y val="0.92575671045117081"/>
            </c:manualLayout>
          </c:layout>
          <c:overlay val="0"/>
          <c:spPr>
            <a:noFill/>
            <a:ln w="25400">
              <a:noFill/>
            </a:ln>
          </c:spPr>
        </c:title>
        <c:numFmt formatCode="\$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417313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numFmt formatCode="###,00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'Table 20 part 1'!$C$68:$C$121</c:f>
              <c:strCache>
                <c:ptCount val="54"/>
                <c:pt idx="0">
                  <c:v>Alamogordo</c:v>
                </c:pt>
                <c:pt idx="1">
                  <c:v>Albuquerque</c:v>
                </c:pt>
                <c:pt idx="2">
                  <c:v>Angel Fire</c:v>
                </c:pt>
                <c:pt idx="3">
                  <c:v>Anthony</c:v>
                </c:pt>
                <c:pt idx="4">
                  <c:v>Artesia</c:v>
                </c:pt>
                <c:pt idx="5">
                  <c:v>Aztec</c:v>
                </c:pt>
                <c:pt idx="6">
                  <c:v>Bayard</c:v>
                </c:pt>
                <c:pt idx="7">
                  <c:v>Belen</c:v>
                </c:pt>
                <c:pt idx="8">
                  <c:v>Bernalillo</c:v>
                </c:pt>
                <c:pt idx="9">
                  <c:v>Bloomfield</c:v>
                </c:pt>
                <c:pt idx="10">
                  <c:v>Bosque Farms</c:v>
                </c:pt>
                <c:pt idx="11">
                  <c:v>Capitan</c:v>
                </c:pt>
                <c:pt idx="12">
                  <c:v>Carlsbad</c:v>
                </c:pt>
                <c:pt idx="13">
                  <c:v>Carrizozo</c:v>
                </c:pt>
                <c:pt idx="14">
                  <c:v>Causey</c:v>
                </c:pt>
                <c:pt idx="15">
                  <c:v>Chama</c:v>
                </c:pt>
                <c:pt idx="16">
                  <c:v>Cimarron</c:v>
                </c:pt>
                <c:pt idx="17">
                  <c:v>Clayton</c:v>
                </c:pt>
                <c:pt idx="18">
                  <c:v>Cloudcroft</c:v>
                </c:pt>
                <c:pt idx="19">
                  <c:v>Clovis</c:v>
                </c:pt>
                <c:pt idx="20">
                  <c:v>Columbus</c:v>
                </c:pt>
                <c:pt idx="21">
                  <c:v>Corona</c:v>
                </c:pt>
                <c:pt idx="22">
                  <c:v>Corrales</c:v>
                </c:pt>
                <c:pt idx="23">
                  <c:v>Cuba</c:v>
                </c:pt>
                <c:pt idx="24">
                  <c:v>Deming</c:v>
                </c:pt>
                <c:pt idx="25">
                  <c:v>Des Moines</c:v>
                </c:pt>
                <c:pt idx="26">
                  <c:v>Dexter</c:v>
                </c:pt>
                <c:pt idx="27">
                  <c:v>Dora</c:v>
                </c:pt>
                <c:pt idx="28">
                  <c:v>Eagle Nest</c:v>
                </c:pt>
                <c:pt idx="29">
                  <c:v>Edgewood</c:v>
                </c:pt>
                <c:pt idx="30">
                  <c:v>Elephant Butte</c:v>
                </c:pt>
                <c:pt idx="31">
                  <c:v>Elida</c:v>
                </c:pt>
                <c:pt idx="32">
                  <c:v>Encino</c:v>
                </c:pt>
                <c:pt idx="33">
                  <c:v>Espanola</c:v>
                </c:pt>
                <c:pt idx="34">
                  <c:v>Estancia</c:v>
                </c:pt>
                <c:pt idx="35">
                  <c:v>Eunice</c:v>
                </c:pt>
                <c:pt idx="36">
                  <c:v>Farmington</c:v>
                </c:pt>
                <c:pt idx="37">
                  <c:v>Floyd</c:v>
                </c:pt>
                <c:pt idx="38">
                  <c:v>Folsom</c:v>
                </c:pt>
                <c:pt idx="39">
                  <c:v>Fort Sumner</c:v>
                </c:pt>
                <c:pt idx="40">
                  <c:v>Gallup</c:v>
                </c:pt>
                <c:pt idx="41">
                  <c:v>Grady</c:v>
                </c:pt>
                <c:pt idx="42">
                  <c:v>Grants</c:v>
                </c:pt>
                <c:pt idx="43">
                  <c:v>Grenville</c:v>
                </c:pt>
                <c:pt idx="44">
                  <c:v>Hagerman</c:v>
                </c:pt>
                <c:pt idx="45">
                  <c:v>Hatch</c:v>
                </c:pt>
                <c:pt idx="46">
                  <c:v>Hobbs</c:v>
                </c:pt>
                <c:pt idx="47">
                  <c:v>Hope</c:v>
                </c:pt>
                <c:pt idx="48">
                  <c:v>House</c:v>
                </c:pt>
                <c:pt idx="49">
                  <c:v>Hurley</c:v>
                </c:pt>
                <c:pt idx="50">
                  <c:v>Jal</c:v>
                </c:pt>
                <c:pt idx="51">
                  <c:v>Jemez Springs</c:v>
                </c:pt>
                <c:pt idx="52">
                  <c:v>Kirtland</c:v>
                </c:pt>
                <c:pt idx="53">
                  <c:v>Lake Arthur</c:v>
                </c:pt>
              </c:strCache>
            </c:strRef>
          </c:cat>
          <c:val>
            <c:numRef>
              <c:f>'Table 20 part 1'!$D$68:$D$121</c:f>
              <c:numCache>
                <c:formatCode>#,##0</c:formatCode>
                <c:ptCount val="54"/>
                <c:pt idx="0">
                  <c:v>738942.14399999997</c:v>
                </c:pt>
                <c:pt idx="1">
                  <c:v>18425840.938999999</c:v>
                </c:pt>
                <c:pt idx="2">
                  <c:v>352861.08899999998</c:v>
                </c:pt>
                <c:pt idx="3">
                  <c:v>94701.756999999998</c:v>
                </c:pt>
                <c:pt idx="4">
                  <c:v>586147.70069000009</c:v>
                </c:pt>
                <c:pt idx="5">
                  <c:v>158949.11364</c:v>
                </c:pt>
                <c:pt idx="6">
                  <c:v>23302.350999999999</c:v>
                </c:pt>
                <c:pt idx="7">
                  <c:v>230803.709</c:v>
                </c:pt>
                <c:pt idx="8">
                  <c:v>290911.93599999999</c:v>
                </c:pt>
                <c:pt idx="9">
                  <c:v>169009.24591999999</c:v>
                </c:pt>
                <c:pt idx="10">
                  <c:v>128846.47100000001</c:v>
                </c:pt>
                <c:pt idx="11">
                  <c:v>34840.082999999999</c:v>
                </c:pt>
                <c:pt idx="12">
                  <c:v>1007595.33766</c:v>
                </c:pt>
                <c:pt idx="13">
                  <c:v>21545.54</c:v>
                </c:pt>
                <c:pt idx="14">
                  <c:v>1377.002</c:v>
                </c:pt>
                <c:pt idx="15">
                  <c:v>39308.866000000002</c:v>
                </c:pt>
                <c:pt idx="16">
                  <c:v>16653.183000000001</c:v>
                </c:pt>
                <c:pt idx="17">
                  <c:v>44223.428</c:v>
                </c:pt>
                <c:pt idx="18">
                  <c:v>81095.25</c:v>
                </c:pt>
                <c:pt idx="19">
                  <c:v>839199.56700000004</c:v>
                </c:pt>
                <c:pt idx="20">
                  <c:v>20451.454000000002</c:v>
                </c:pt>
                <c:pt idx="21">
                  <c:v>7403.8959999999997</c:v>
                </c:pt>
                <c:pt idx="22">
                  <c:v>612825.99100000004</c:v>
                </c:pt>
                <c:pt idx="23">
                  <c:v>12791.739</c:v>
                </c:pt>
                <c:pt idx="24">
                  <c:v>310967.32</c:v>
                </c:pt>
                <c:pt idx="25">
                  <c:v>2863.49</c:v>
                </c:pt>
                <c:pt idx="26">
                  <c:v>15019.326999999999</c:v>
                </c:pt>
                <c:pt idx="27">
                  <c:v>1395.069</c:v>
                </c:pt>
                <c:pt idx="28">
                  <c:v>22784.007000000001</c:v>
                </c:pt>
                <c:pt idx="29">
                  <c:v>223621.247</c:v>
                </c:pt>
                <c:pt idx="30">
                  <c:v>78605.576000000001</c:v>
                </c:pt>
                <c:pt idx="31">
                  <c:v>3172.32</c:v>
                </c:pt>
                <c:pt idx="32">
                  <c:v>19438.673999999999</c:v>
                </c:pt>
                <c:pt idx="33">
                  <c:v>231627.31400000001</c:v>
                </c:pt>
                <c:pt idx="34">
                  <c:v>28266.210999999999</c:v>
                </c:pt>
                <c:pt idx="35">
                  <c:v>45708.243829999999</c:v>
                </c:pt>
                <c:pt idx="36">
                  <c:v>1471777.2755199999</c:v>
                </c:pt>
                <c:pt idx="37">
                  <c:v>1231.1489999999999</c:v>
                </c:pt>
                <c:pt idx="38">
                  <c:v>1599.482</c:v>
                </c:pt>
                <c:pt idx="39">
                  <c:v>16391.710999999999</c:v>
                </c:pt>
                <c:pt idx="40">
                  <c:v>396610.30599999998</c:v>
                </c:pt>
                <c:pt idx="41">
                  <c:v>799.14</c:v>
                </c:pt>
                <c:pt idx="42">
                  <c:v>162912.65599999999</c:v>
                </c:pt>
                <c:pt idx="43">
                  <c:v>941.76300000000003</c:v>
                </c:pt>
                <c:pt idx="44">
                  <c:v>12773.031000000001</c:v>
                </c:pt>
                <c:pt idx="45">
                  <c:v>24677.375</c:v>
                </c:pt>
                <c:pt idx="46">
                  <c:v>971594.73141999997</c:v>
                </c:pt>
                <c:pt idx="47">
                  <c:v>1413.7239999999999</c:v>
                </c:pt>
                <c:pt idx="48">
                  <c:v>1149.0260000000001</c:v>
                </c:pt>
                <c:pt idx="49">
                  <c:v>14620.418</c:v>
                </c:pt>
                <c:pt idx="50">
                  <c:v>35384.975359999997</c:v>
                </c:pt>
                <c:pt idx="51">
                  <c:v>15624.142</c:v>
                </c:pt>
                <c:pt idx="52">
                  <c:v>30546.669000000002</c:v>
                </c:pt>
                <c:pt idx="53">
                  <c:v>3729.7460000000001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F3-480D-AE7F-84852CA5DFD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74175936"/>
        <c:axId val="174176496"/>
      </c:barChart>
      <c:catAx>
        <c:axId val="174175936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crossAx val="174176496"/>
        <c:crosses val="autoZero"/>
        <c:auto val="0"/>
        <c:lblAlgn val="ctr"/>
        <c:lblOffset val="100"/>
        <c:tickLblSkip val="1"/>
        <c:noMultiLvlLbl val="0"/>
      </c:catAx>
      <c:valAx>
        <c:axId val="174176496"/>
        <c:scaling>
          <c:logBase val="1000"/>
          <c:orientation val="minMax"/>
        </c:scaling>
        <c:delete val="0"/>
        <c:axPos val="b"/>
        <c:majorGridlines/>
        <c:numFmt formatCode="#,##0" sourceLinked="1"/>
        <c:majorTickMark val="out"/>
        <c:minorTickMark val="none"/>
        <c:tickLblPos val="nextTo"/>
        <c:crossAx val="1741759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'Table 20 part 2'!$C$67:$C$118</c:f>
              <c:strCache>
                <c:ptCount val="52"/>
                <c:pt idx="0">
                  <c:v>Las Cruces</c:v>
                </c:pt>
                <c:pt idx="1">
                  <c:v>Las Vegas</c:v>
                </c:pt>
                <c:pt idx="2">
                  <c:v>Logan</c:v>
                </c:pt>
                <c:pt idx="3">
                  <c:v>Lordsburg</c:v>
                </c:pt>
                <c:pt idx="4">
                  <c:v>Los Alamos</c:v>
                </c:pt>
                <c:pt idx="5">
                  <c:v>Los Lunas</c:v>
                </c:pt>
                <c:pt idx="6">
                  <c:v>Los Ranchos</c:v>
                </c:pt>
                <c:pt idx="7">
                  <c:v>Loving</c:v>
                </c:pt>
                <c:pt idx="8">
                  <c:v>Lovington</c:v>
                </c:pt>
                <c:pt idx="9">
                  <c:v>Magdalena</c:v>
                </c:pt>
                <c:pt idx="10">
                  <c:v>Maxwell</c:v>
                </c:pt>
                <c:pt idx="11">
                  <c:v>Melrose</c:v>
                </c:pt>
                <c:pt idx="12">
                  <c:v>Mesilla</c:v>
                </c:pt>
                <c:pt idx="13">
                  <c:v>Milan</c:v>
                </c:pt>
                <c:pt idx="14">
                  <c:v>Moriarty</c:v>
                </c:pt>
                <c:pt idx="15">
                  <c:v>Mosquero</c:v>
                </c:pt>
                <c:pt idx="16">
                  <c:v>Mountainair</c:v>
                </c:pt>
                <c:pt idx="17">
                  <c:v>Pecos</c:v>
                </c:pt>
                <c:pt idx="18">
                  <c:v>Peralta</c:v>
                </c:pt>
                <c:pt idx="19">
                  <c:v>Portales</c:v>
                </c:pt>
                <c:pt idx="20">
                  <c:v>Questa</c:v>
                </c:pt>
                <c:pt idx="21">
                  <c:v>Raton</c:v>
                </c:pt>
                <c:pt idx="22">
                  <c:v>Red River</c:v>
                </c:pt>
                <c:pt idx="23">
                  <c:v>Reserve</c:v>
                </c:pt>
                <c:pt idx="24">
                  <c:v>Rio Communities</c:v>
                </c:pt>
                <c:pt idx="25">
                  <c:v>Rio Rancho</c:v>
                </c:pt>
                <c:pt idx="26">
                  <c:v>Roswell</c:v>
                </c:pt>
                <c:pt idx="27">
                  <c:v>Roy</c:v>
                </c:pt>
                <c:pt idx="28">
                  <c:v>Ruidoso</c:v>
                </c:pt>
                <c:pt idx="29">
                  <c:v>Ruidoso Downs</c:v>
                </c:pt>
                <c:pt idx="30">
                  <c:v>San Jon</c:v>
                </c:pt>
                <c:pt idx="31">
                  <c:v>San Ysidro</c:v>
                </c:pt>
                <c:pt idx="32">
                  <c:v>Santa Clara</c:v>
                </c:pt>
                <c:pt idx="33">
                  <c:v>Santa Fe</c:v>
                </c:pt>
                <c:pt idx="34">
                  <c:v>Santa Rosa</c:v>
                </c:pt>
                <c:pt idx="35">
                  <c:v>Silver City</c:v>
                </c:pt>
                <c:pt idx="36">
                  <c:v>Socorro</c:v>
                </c:pt>
                <c:pt idx="37">
                  <c:v>Springer</c:v>
                </c:pt>
                <c:pt idx="38">
                  <c:v>Sunland Park</c:v>
                </c:pt>
                <c:pt idx="39">
                  <c:v>Taos</c:v>
                </c:pt>
                <c:pt idx="40">
                  <c:v>Taos Ski Valley</c:v>
                </c:pt>
                <c:pt idx="41">
                  <c:v>Tatum</c:v>
                </c:pt>
                <c:pt idx="42">
                  <c:v>Texico</c:v>
                </c:pt>
                <c:pt idx="43">
                  <c:v>Tijeras</c:v>
                </c:pt>
                <c:pt idx="44">
                  <c:v>Truth or Consequences</c:v>
                </c:pt>
                <c:pt idx="45">
                  <c:v>Tucumcari</c:v>
                </c:pt>
                <c:pt idx="46">
                  <c:v>Tularosa</c:v>
                </c:pt>
                <c:pt idx="47">
                  <c:v>Vaughn</c:v>
                </c:pt>
                <c:pt idx="48">
                  <c:v>Virden</c:v>
                </c:pt>
                <c:pt idx="49">
                  <c:v>Wagon Mound</c:v>
                </c:pt>
                <c:pt idx="50">
                  <c:v>Willard</c:v>
                </c:pt>
                <c:pt idx="51">
                  <c:v>Williamsburg</c:v>
                </c:pt>
              </c:strCache>
            </c:strRef>
          </c:cat>
          <c:val>
            <c:numRef>
              <c:f>'Table 20 part 2'!$D$67:$D$118</c:f>
              <c:numCache>
                <c:formatCode>#,##0</c:formatCode>
                <c:ptCount val="52"/>
                <c:pt idx="0">
                  <c:v>3426663.6370000001</c:v>
                </c:pt>
                <c:pt idx="1">
                  <c:v>262409.98300000001</c:v>
                </c:pt>
                <c:pt idx="2">
                  <c:v>43775.650999999998</c:v>
                </c:pt>
                <c:pt idx="3">
                  <c:v>43439.42</c:v>
                </c:pt>
                <c:pt idx="4">
                  <c:v>1105538.8770000001</c:v>
                </c:pt>
                <c:pt idx="5">
                  <c:v>743294.39800000004</c:v>
                </c:pt>
                <c:pt idx="6">
                  <c:v>366225.25099999999</c:v>
                </c:pt>
                <c:pt idx="7">
                  <c:v>19663.060000000001</c:v>
                </c:pt>
                <c:pt idx="8">
                  <c:v>149354.84700000001</c:v>
                </c:pt>
                <c:pt idx="9">
                  <c:v>10030.1</c:v>
                </c:pt>
                <c:pt idx="10">
                  <c:v>3134.8530000000001</c:v>
                </c:pt>
                <c:pt idx="11">
                  <c:v>10778.414000000001</c:v>
                </c:pt>
                <c:pt idx="12">
                  <c:v>86521.252999999997</c:v>
                </c:pt>
                <c:pt idx="13">
                  <c:v>49657.175000000003</c:v>
                </c:pt>
                <c:pt idx="14">
                  <c:v>61176.894</c:v>
                </c:pt>
                <c:pt idx="15">
                  <c:v>1323.6469999999999</c:v>
                </c:pt>
                <c:pt idx="16">
                  <c:v>13749.64</c:v>
                </c:pt>
                <c:pt idx="17">
                  <c:v>28299.784</c:v>
                </c:pt>
                <c:pt idx="18">
                  <c:v>86199.429000000004</c:v>
                </c:pt>
                <c:pt idx="19">
                  <c:v>208860.45</c:v>
                </c:pt>
                <c:pt idx="20">
                  <c:v>43509.527999999998</c:v>
                </c:pt>
                <c:pt idx="21">
                  <c:v>109808.889</c:v>
                </c:pt>
                <c:pt idx="22">
                  <c:v>86351.004000000001</c:v>
                </c:pt>
                <c:pt idx="23">
                  <c:v>7970.4650000000001</c:v>
                </c:pt>
                <c:pt idx="24">
                  <c:v>110653.83</c:v>
                </c:pt>
                <c:pt idx="25">
                  <c:v>3793300.1090000002</c:v>
                </c:pt>
                <c:pt idx="26">
                  <c:v>959922.87800000003</c:v>
                </c:pt>
                <c:pt idx="27">
                  <c:v>2760.1190000000001</c:v>
                </c:pt>
                <c:pt idx="28">
                  <c:v>708783.99600000004</c:v>
                </c:pt>
                <c:pt idx="29">
                  <c:v>68427.942999999999</c:v>
                </c:pt>
                <c:pt idx="30">
                  <c:v>3372.8510000000001</c:v>
                </c:pt>
                <c:pt idx="31">
                  <c:v>5434.0829999999996</c:v>
                </c:pt>
                <c:pt idx="32">
                  <c:v>16599.517</c:v>
                </c:pt>
                <c:pt idx="33">
                  <c:v>6004448.6979999999</c:v>
                </c:pt>
                <c:pt idx="34">
                  <c:v>58259.402000000002</c:v>
                </c:pt>
                <c:pt idx="35">
                  <c:v>244254.76800000001</c:v>
                </c:pt>
                <c:pt idx="36">
                  <c:v>154508.008</c:v>
                </c:pt>
                <c:pt idx="37">
                  <c:v>12765.699000000001</c:v>
                </c:pt>
                <c:pt idx="38">
                  <c:v>455725.38</c:v>
                </c:pt>
                <c:pt idx="39">
                  <c:v>410705.54700000002</c:v>
                </c:pt>
                <c:pt idx="40">
                  <c:v>137828.978</c:v>
                </c:pt>
                <c:pt idx="41">
                  <c:v>11125.118</c:v>
                </c:pt>
                <c:pt idx="42">
                  <c:v>10394.857</c:v>
                </c:pt>
                <c:pt idx="43">
                  <c:v>25222.005000000001</c:v>
                </c:pt>
                <c:pt idx="44">
                  <c:v>123503.93</c:v>
                </c:pt>
                <c:pt idx="45">
                  <c:v>88897.948999999993</c:v>
                </c:pt>
                <c:pt idx="46">
                  <c:v>43639.025000000001</c:v>
                </c:pt>
                <c:pt idx="47">
                  <c:v>10747.282999999999</c:v>
                </c:pt>
                <c:pt idx="48">
                  <c:v>1344.4839999999999</c:v>
                </c:pt>
                <c:pt idx="49">
                  <c:v>6953.8670000000002</c:v>
                </c:pt>
                <c:pt idx="50">
                  <c:v>2452.2069999999999</c:v>
                </c:pt>
                <c:pt idx="51">
                  <c:v>6618.3940000000002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5C-4EBA-8B85-F8F40721FEC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38632144"/>
        <c:axId val="338632704"/>
      </c:barChart>
      <c:catAx>
        <c:axId val="338632144"/>
        <c:scaling>
          <c:orientation val="maxMin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338632704"/>
        <c:crosses val="autoZero"/>
        <c:auto val="0"/>
        <c:lblAlgn val="ctr"/>
        <c:lblOffset val="100"/>
        <c:tickLblSkip val="1"/>
        <c:noMultiLvlLbl val="0"/>
      </c:catAx>
      <c:valAx>
        <c:axId val="338632704"/>
        <c:scaling>
          <c:logBase val="1000"/>
          <c:orientation val="minMax"/>
        </c:scaling>
        <c:delete val="0"/>
        <c:axPos val="t"/>
        <c:majorGridlines/>
        <c:numFmt formatCode="#,##0" sourceLinked="1"/>
        <c:majorTickMark val="out"/>
        <c:minorTickMark val="none"/>
        <c:tickLblPos val="nextTo"/>
        <c:crossAx val="3386321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385080</xdr:colOff>
      <xdr:row>49</xdr:row>
      <xdr:rowOff>38099</xdr:rowOff>
    </xdr:from>
    <xdr:to>
      <xdr:col>27</xdr:col>
      <xdr:colOff>364672</xdr:colOff>
      <xdr:row>86</xdr:row>
      <xdr:rowOff>231320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299357</xdr:colOff>
      <xdr:row>7</xdr:row>
      <xdr:rowOff>54429</xdr:rowOff>
    </xdr:from>
    <xdr:to>
      <xdr:col>27</xdr:col>
      <xdr:colOff>272143</xdr:colOff>
      <xdr:row>43</xdr:row>
      <xdr:rowOff>40821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24</xdr:col>
      <xdr:colOff>566057</xdr:colOff>
      <xdr:row>49</xdr:row>
      <xdr:rowOff>87084</xdr:rowOff>
    </xdr:from>
    <xdr:ext cx="903514" cy="28020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5559657" y="9960427"/>
          <a:ext cx="903514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r"/>
          <a:r>
            <a:rPr lang="en-US" sz="1200" b="1"/>
            <a:t>Thousands</a:t>
          </a:r>
        </a:p>
      </xdr:txBody>
    </xdr:sp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0.03511</cdr:x>
      <cdr:y>0.06951</cdr:y>
    </cdr:from>
    <cdr:to>
      <cdr:x>0.09337</cdr:x>
      <cdr:y>0.19309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51092" y="5143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0.92584</cdr:x>
      <cdr:y>0.02559</cdr:y>
    </cdr:from>
    <cdr:to>
      <cdr:x>0.98325</cdr:x>
      <cdr:y>0.14845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4746062" y="19050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27</xdr:row>
      <xdr:rowOff>38100</xdr:rowOff>
    </xdr:from>
    <xdr:to>
      <xdr:col>16</xdr:col>
      <xdr:colOff>205740</xdr:colOff>
      <xdr:row>47</xdr:row>
      <xdr:rowOff>38100</xdr:rowOff>
    </xdr:to>
    <xdr:graphicFrame macro="">
      <xdr:nvGraphicFramePr>
        <xdr:cNvPr id="26639" name="Chart 3">
          <a:extLst>
            <a:ext uri="{FF2B5EF4-FFF2-40B4-BE49-F238E27FC236}">
              <a16:creationId xmlns:a16="http://schemas.microsoft.com/office/drawing/2014/main" id="{00000000-0008-0000-0300-00000F6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295275</xdr:colOff>
      <xdr:row>7</xdr:row>
      <xdr:rowOff>104775</xdr:rowOff>
    </xdr:from>
    <xdr:to>
      <xdr:col>12</xdr:col>
      <xdr:colOff>514350</xdr:colOff>
      <xdr:row>58</xdr:row>
      <xdr:rowOff>66675</xdr:rowOff>
    </xdr:to>
    <xdr:grpSp>
      <xdr:nvGrpSpPr>
        <xdr:cNvPr id="200868" name="Group 1692">
          <a:extLst>
            <a:ext uri="{FF2B5EF4-FFF2-40B4-BE49-F238E27FC236}">
              <a16:creationId xmlns:a16="http://schemas.microsoft.com/office/drawing/2014/main" id="{00000000-0008-0000-0800-0000A4100300}"/>
            </a:ext>
          </a:extLst>
        </xdr:cNvPr>
        <xdr:cNvGrpSpPr>
          <a:grpSpLocks/>
        </xdr:cNvGrpSpPr>
      </xdr:nvGrpSpPr>
      <xdr:grpSpPr bwMode="auto">
        <a:xfrm>
          <a:off x="1143000" y="1514475"/>
          <a:ext cx="6315075" cy="8220075"/>
          <a:chOff x="174" y="576"/>
          <a:chExt cx="3904" cy="5120"/>
        </a:xfrm>
      </xdr:grpSpPr>
      <xdr:sp macro="" textlink="">
        <xdr:nvSpPr>
          <xdr:cNvPr id="200869" name="Freeform 1693">
            <a:extLst>
              <a:ext uri="{FF2B5EF4-FFF2-40B4-BE49-F238E27FC236}">
                <a16:creationId xmlns:a16="http://schemas.microsoft.com/office/drawing/2014/main" id="{00000000-0008-0000-0800-0000A5100300}"/>
              </a:ext>
            </a:extLst>
          </xdr:cNvPr>
          <xdr:cNvSpPr>
            <a:spLocks/>
          </xdr:cNvSpPr>
        </xdr:nvSpPr>
        <xdr:spPr bwMode="auto">
          <a:xfrm>
            <a:off x="302" y="1487"/>
            <a:ext cx="1071" cy="925"/>
          </a:xfrm>
          <a:custGeom>
            <a:avLst/>
            <a:gdLst>
              <a:gd name="T0" fmla="*/ 30 w 1071"/>
              <a:gd name="T1" fmla="*/ 0 h 925"/>
              <a:gd name="T2" fmla="*/ 1071 w 1071"/>
              <a:gd name="T3" fmla="*/ 30 h 925"/>
              <a:gd name="T4" fmla="*/ 1062 w 1071"/>
              <a:gd name="T5" fmla="*/ 646 h 925"/>
              <a:gd name="T6" fmla="*/ 1051 w 1071"/>
              <a:gd name="T7" fmla="*/ 649 h 925"/>
              <a:gd name="T8" fmla="*/ 862 w 1071"/>
              <a:gd name="T9" fmla="*/ 646 h 925"/>
              <a:gd name="T10" fmla="*/ 865 w 1071"/>
              <a:gd name="T11" fmla="*/ 610 h 925"/>
              <a:gd name="T12" fmla="*/ 787 w 1071"/>
              <a:gd name="T13" fmla="*/ 610 h 925"/>
              <a:gd name="T14" fmla="*/ 789 w 1071"/>
              <a:gd name="T15" fmla="*/ 640 h 925"/>
              <a:gd name="T16" fmla="*/ 342 w 1071"/>
              <a:gd name="T17" fmla="*/ 625 h 925"/>
              <a:gd name="T18" fmla="*/ 339 w 1071"/>
              <a:gd name="T19" fmla="*/ 925 h 925"/>
              <a:gd name="T20" fmla="*/ 0 w 1071"/>
              <a:gd name="T21" fmla="*/ 924 h 925"/>
              <a:gd name="T22" fmla="*/ 30 w 1071"/>
              <a:gd name="T23" fmla="*/ 0 h 925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w 1071"/>
              <a:gd name="T37" fmla="*/ 0 h 925"/>
              <a:gd name="T38" fmla="*/ 1071 w 1071"/>
              <a:gd name="T39" fmla="*/ 925 h 925"/>
            </a:gdLst>
            <a:ahLst/>
            <a:cxnLst>
              <a:cxn ang="T24">
                <a:pos x="T0" y="T1"/>
              </a:cxn>
              <a:cxn ang="T25">
                <a:pos x="T2" y="T3"/>
              </a:cxn>
              <a:cxn ang="T26">
                <a:pos x="T4" y="T5"/>
              </a:cxn>
              <a:cxn ang="T27">
                <a:pos x="T6" y="T7"/>
              </a:cxn>
              <a:cxn ang="T28">
                <a:pos x="T8" y="T9"/>
              </a:cxn>
              <a:cxn ang="T29">
                <a:pos x="T10" y="T11"/>
              </a:cxn>
              <a:cxn ang="T30">
                <a:pos x="T12" y="T13"/>
              </a:cxn>
              <a:cxn ang="T31">
                <a:pos x="T14" y="T15"/>
              </a:cxn>
              <a:cxn ang="T32">
                <a:pos x="T16" y="T17"/>
              </a:cxn>
              <a:cxn ang="T33">
                <a:pos x="T18" y="T19"/>
              </a:cxn>
              <a:cxn ang="T34">
                <a:pos x="T20" y="T21"/>
              </a:cxn>
              <a:cxn ang="T35">
                <a:pos x="T22" y="T23"/>
              </a:cxn>
            </a:cxnLst>
            <a:rect l="T36" t="T37" r="T38" b="T39"/>
            <a:pathLst>
              <a:path w="1071" h="925">
                <a:moveTo>
                  <a:pt x="30" y="0"/>
                </a:moveTo>
                <a:lnTo>
                  <a:pt x="1071" y="30"/>
                </a:lnTo>
                <a:lnTo>
                  <a:pt x="1062" y="646"/>
                </a:lnTo>
                <a:lnTo>
                  <a:pt x="1051" y="649"/>
                </a:lnTo>
                <a:lnTo>
                  <a:pt x="862" y="646"/>
                </a:lnTo>
                <a:lnTo>
                  <a:pt x="865" y="610"/>
                </a:lnTo>
                <a:lnTo>
                  <a:pt x="787" y="610"/>
                </a:lnTo>
                <a:lnTo>
                  <a:pt x="789" y="640"/>
                </a:lnTo>
                <a:lnTo>
                  <a:pt x="342" y="625"/>
                </a:lnTo>
                <a:lnTo>
                  <a:pt x="339" y="925"/>
                </a:lnTo>
                <a:lnTo>
                  <a:pt x="0" y="924"/>
                </a:lnTo>
                <a:lnTo>
                  <a:pt x="30" y="0"/>
                </a:lnTo>
                <a:close/>
              </a:path>
            </a:pathLst>
          </a:custGeom>
          <a:noFill/>
          <a:ln w="15875" cap="flat" cmpd="sng">
            <a:solidFill>
              <a:srgbClr val="CC000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0870" name="Freeform 1694">
            <a:extLst>
              <a:ext uri="{FF2B5EF4-FFF2-40B4-BE49-F238E27FC236}">
                <a16:creationId xmlns:a16="http://schemas.microsoft.com/office/drawing/2014/main" id="{00000000-0008-0000-0800-0000A6100300}"/>
              </a:ext>
            </a:extLst>
          </xdr:cNvPr>
          <xdr:cNvSpPr>
            <a:spLocks/>
          </xdr:cNvSpPr>
        </xdr:nvSpPr>
        <xdr:spPr bwMode="auto">
          <a:xfrm>
            <a:off x="336" y="576"/>
            <a:ext cx="991" cy="935"/>
          </a:xfrm>
          <a:custGeom>
            <a:avLst/>
            <a:gdLst>
              <a:gd name="T0" fmla="*/ 52 w 991"/>
              <a:gd name="T1" fmla="*/ 0 h 935"/>
              <a:gd name="T2" fmla="*/ 262 w 991"/>
              <a:gd name="T3" fmla="*/ 6 h 935"/>
              <a:gd name="T4" fmla="*/ 445 w 991"/>
              <a:gd name="T5" fmla="*/ 15 h 935"/>
              <a:gd name="T6" fmla="*/ 616 w 991"/>
              <a:gd name="T7" fmla="*/ 21 h 935"/>
              <a:gd name="T8" fmla="*/ 760 w 991"/>
              <a:gd name="T9" fmla="*/ 24 h 935"/>
              <a:gd name="T10" fmla="*/ 961 w 991"/>
              <a:gd name="T11" fmla="*/ 36 h 935"/>
              <a:gd name="T12" fmla="*/ 991 w 991"/>
              <a:gd name="T13" fmla="*/ 36 h 935"/>
              <a:gd name="T14" fmla="*/ 985 w 991"/>
              <a:gd name="T15" fmla="*/ 63 h 935"/>
              <a:gd name="T16" fmla="*/ 967 w 991"/>
              <a:gd name="T17" fmla="*/ 84 h 935"/>
              <a:gd name="T18" fmla="*/ 967 w 991"/>
              <a:gd name="T19" fmla="*/ 123 h 935"/>
              <a:gd name="T20" fmla="*/ 889 w 991"/>
              <a:gd name="T21" fmla="*/ 186 h 935"/>
              <a:gd name="T22" fmla="*/ 871 w 991"/>
              <a:gd name="T23" fmla="*/ 201 h 935"/>
              <a:gd name="T24" fmla="*/ 868 w 991"/>
              <a:gd name="T25" fmla="*/ 225 h 935"/>
              <a:gd name="T26" fmla="*/ 865 w 991"/>
              <a:gd name="T27" fmla="*/ 363 h 935"/>
              <a:gd name="T28" fmla="*/ 859 w 991"/>
              <a:gd name="T29" fmla="*/ 501 h 935"/>
              <a:gd name="T30" fmla="*/ 853 w 991"/>
              <a:gd name="T31" fmla="*/ 609 h 935"/>
              <a:gd name="T32" fmla="*/ 853 w 991"/>
              <a:gd name="T33" fmla="*/ 741 h 935"/>
              <a:gd name="T34" fmla="*/ 850 w 991"/>
              <a:gd name="T35" fmla="*/ 867 h 935"/>
              <a:gd name="T36" fmla="*/ 851 w 991"/>
              <a:gd name="T37" fmla="*/ 935 h 935"/>
              <a:gd name="T38" fmla="*/ 670 w 991"/>
              <a:gd name="T39" fmla="*/ 932 h 935"/>
              <a:gd name="T40" fmla="*/ 565 w 991"/>
              <a:gd name="T41" fmla="*/ 927 h 935"/>
              <a:gd name="T42" fmla="*/ 442 w 991"/>
              <a:gd name="T43" fmla="*/ 924 h 935"/>
              <a:gd name="T44" fmla="*/ 306 w 991"/>
              <a:gd name="T45" fmla="*/ 920 h 935"/>
              <a:gd name="T46" fmla="*/ 193 w 991"/>
              <a:gd name="T47" fmla="*/ 918 h 935"/>
              <a:gd name="T48" fmla="*/ 87 w 991"/>
              <a:gd name="T49" fmla="*/ 912 h 935"/>
              <a:gd name="T50" fmla="*/ 0 w 991"/>
              <a:gd name="T51" fmla="*/ 911 h 935"/>
              <a:gd name="T52" fmla="*/ 10 w 991"/>
              <a:gd name="T53" fmla="*/ 525 h 935"/>
              <a:gd name="T54" fmla="*/ 16 w 991"/>
              <a:gd name="T55" fmla="*/ 384 h 935"/>
              <a:gd name="T56" fmla="*/ 22 w 991"/>
              <a:gd name="T57" fmla="*/ 180 h 935"/>
              <a:gd name="T58" fmla="*/ 34 w 991"/>
              <a:gd name="T59" fmla="*/ 0 h 935"/>
              <a:gd name="T60" fmla="*/ 52 w 991"/>
              <a:gd name="T61" fmla="*/ 0 h 935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w 991"/>
              <a:gd name="T94" fmla="*/ 0 h 935"/>
              <a:gd name="T95" fmla="*/ 991 w 991"/>
              <a:gd name="T96" fmla="*/ 935 h 935"/>
            </a:gdLst>
            <a:ahLst/>
            <a:cxnLst>
              <a:cxn ang="T62">
                <a:pos x="T0" y="T1"/>
              </a:cxn>
              <a:cxn ang="T63">
                <a:pos x="T2" y="T3"/>
              </a:cxn>
              <a:cxn ang="T64">
                <a:pos x="T4" y="T5"/>
              </a:cxn>
              <a:cxn ang="T65">
                <a:pos x="T6" y="T7"/>
              </a:cxn>
              <a:cxn ang="T66">
                <a:pos x="T8" y="T9"/>
              </a:cxn>
              <a:cxn ang="T67">
                <a:pos x="T10" y="T11"/>
              </a:cxn>
              <a:cxn ang="T68">
                <a:pos x="T12" y="T13"/>
              </a:cxn>
              <a:cxn ang="T69">
                <a:pos x="T14" y="T15"/>
              </a:cxn>
              <a:cxn ang="T70">
                <a:pos x="T16" y="T17"/>
              </a:cxn>
              <a:cxn ang="T71">
                <a:pos x="T18" y="T19"/>
              </a:cxn>
              <a:cxn ang="T72">
                <a:pos x="T20" y="T21"/>
              </a:cxn>
              <a:cxn ang="T73">
                <a:pos x="T22" y="T23"/>
              </a:cxn>
              <a:cxn ang="T74">
                <a:pos x="T24" y="T25"/>
              </a:cxn>
              <a:cxn ang="T75">
                <a:pos x="T26" y="T27"/>
              </a:cxn>
              <a:cxn ang="T76">
                <a:pos x="T28" y="T29"/>
              </a:cxn>
              <a:cxn ang="T77">
                <a:pos x="T30" y="T31"/>
              </a:cxn>
              <a:cxn ang="T78">
                <a:pos x="T32" y="T33"/>
              </a:cxn>
              <a:cxn ang="T79">
                <a:pos x="T34" y="T35"/>
              </a:cxn>
              <a:cxn ang="T80">
                <a:pos x="T36" y="T37"/>
              </a:cxn>
              <a:cxn ang="T81">
                <a:pos x="T38" y="T39"/>
              </a:cxn>
              <a:cxn ang="T82">
                <a:pos x="T40" y="T41"/>
              </a:cxn>
              <a:cxn ang="T83">
                <a:pos x="T42" y="T43"/>
              </a:cxn>
              <a:cxn ang="T84">
                <a:pos x="T44" y="T45"/>
              </a:cxn>
              <a:cxn ang="T85">
                <a:pos x="T46" y="T47"/>
              </a:cxn>
              <a:cxn ang="T86">
                <a:pos x="T48" y="T49"/>
              </a:cxn>
              <a:cxn ang="T87">
                <a:pos x="T50" y="T51"/>
              </a:cxn>
              <a:cxn ang="T88">
                <a:pos x="T52" y="T53"/>
              </a:cxn>
              <a:cxn ang="T89">
                <a:pos x="T54" y="T55"/>
              </a:cxn>
              <a:cxn ang="T90">
                <a:pos x="T56" y="T57"/>
              </a:cxn>
              <a:cxn ang="T91">
                <a:pos x="T58" y="T59"/>
              </a:cxn>
              <a:cxn ang="T92">
                <a:pos x="T60" y="T61"/>
              </a:cxn>
            </a:cxnLst>
            <a:rect l="T93" t="T94" r="T95" b="T96"/>
            <a:pathLst>
              <a:path w="991" h="935">
                <a:moveTo>
                  <a:pt x="52" y="0"/>
                </a:moveTo>
                <a:lnTo>
                  <a:pt x="262" y="6"/>
                </a:lnTo>
                <a:lnTo>
                  <a:pt x="445" y="15"/>
                </a:lnTo>
                <a:lnTo>
                  <a:pt x="616" y="21"/>
                </a:lnTo>
                <a:lnTo>
                  <a:pt x="760" y="24"/>
                </a:lnTo>
                <a:lnTo>
                  <a:pt x="961" y="36"/>
                </a:lnTo>
                <a:lnTo>
                  <a:pt x="991" y="36"/>
                </a:lnTo>
                <a:lnTo>
                  <a:pt x="985" y="63"/>
                </a:lnTo>
                <a:lnTo>
                  <a:pt x="967" y="84"/>
                </a:lnTo>
                <a:lnTo>
                  <a:pt x="967" y="123"/>
                </a:lnTo>
                <a:lnTo>
                  <a:pt x="889" y="186"/>
                </a:lnTo>
                <a:lnTo>
                  <a:pt x="871" y="201"/>
                </a:lnTo>
                <a:cubicBezTo>
                  <a:pt x="867" y="217"/>
                  <a:pt x="868" y="209"/>
                  <a:pt x="868" y="225"/>
                </a:cubicBezTo>
                <a:lnTo>
                  <a:pt x="865" y="363"/>
                </a:lnTo>
                <a:lnTo>
                  <a:pt x="859" y="501"/>
                </a:lnTo>
                <a:lnTo>
                  <a:pt x="853" y="609"/>
                </a:lnTo>
                <a:lnTo>
                  <a:pt x="853" y="741"/>
                </a:lnTo>
                <a:lnTo>
                  <a:pt x="850" y="867"/>
                </a:lnTo>
                <a:lnTo>
                  <a:pt x="851" y="935"/>
                </a:lnTo>
                <a:lnTo>
                  <a:pt x="670" y="932"/>
                </a:lnTo>
                <a:lnTo>
                  <a:pt x="565" y="927"/>
                </a:lnTo>
                <a:lnTo>
                  <a:pt x="442" y="924"/>
                </a:lnTo>
                <a:lnTo>
                  <a:pt x="306" y="920"/>
                </a:lnTo>
                <a:lnTo>
                  <a:pt x="193" y="918"/>
                </a:lnTo>
                <a:lnTo>
                  <a:pt x="87" y="912"/>
                </a:lnTo>
                <a:lnTo>
                  <a:pt x="0" y="911"/>
                </a:lnTo>
                <a:lnTo>
                  <a:pt x="10" y="525"/>
                </a:lnTo>
                <a:lnTo>
                  <a:pt x="16" y="384"/>
                </a:lnTo>
                <a:lnTo>
                  <a:pt x="22" y="180"/>
                </a:lnTo>
                <a:lnTo>
                  <a:pt x="34" y="0"/>
                </a:lnTo>
                <a:lnTo>
                  <a:pt x="52" y="0"/>
                </a:lnTo>
                <a:close/>
              </a:path>
            </a:pathLst>
          </a:custGeom>
          <a:noFill/>
          <a:ln w="15875" cap="flat" cmpd="sng">
            <a:solidFill>
              <a:srgbClr val="CC000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0871" name="Line 1695">
            <a:extLst>
              <a:ext uri="{FF2B5EF4-FFF2-40B4-BE49-F238E27FC236}">
                <a16:creationId xmlns:a16="http://schemas.microsoft.com/office/drawing/2014/main" id="{00000000-0008-0000-0800-0000A7100300}"/>
              </a:ext>
            </a:extLst>
          </xdr:cNvPr>
          <xdr:cNvSpPr>
            <a:spLocks noChangeShapeType="1"/>
          </xdr:cNvSpPr>
        </xdr:nvSpPr>
        <xdr:spPr bwMode="auto">
          <a:xfrm>
            <a:off x="360" y="768"/>
            <a:ext cx="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8320" name="Text Box 1696">
            <a:extLst>
              <a:ext uri="{FF2B5EF4-FFF2-40B4-BE49-F238E27FC236}">
                <a16:creationId xmlns:a16="http://schemas.microsoft.com/office/drawing/2014/main" id="{00000000-0008-0000-0800-0000A06E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62" y="968"/>
            <a:ext cx="765" cy="17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lnSpc>
                <a:spcPts val="1300"/>
              </a:lnSpc>
              <a:defRPr sz="1000"/>
            </a:pPr>
            <a:r>
              <a:rPr lang="en-US" sz="12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San Juan County</a:t>
            </a:r>
            <a:endParaRPr 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lnSpc>
                <a:spcPts val="1100"/>
              </a:lnSpc>
              <a:defRPr sz="1000"/>
            </a:pPr>
            <a:endParaRPr 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321" name="Text Box 1697">
            <a:extLst>
              <a:ext uri="{FF2B5EF4-FFF2-40B4-BE49-F238E27FC236}">
                <a16:creationId xmlns:a16="http://schemas.microsoft.com/office/drawing/2014/main" id="{00000000-0008-0000-0800-0000A16E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04" y="618"/>
            <a:ext cx="436" cy="1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n-US" sz="7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Farmington</a:t>
            </a:r>
            <a:endPara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322" name="Text Box 1698">
            <a:extLst>
              <a:ext uri="{FF2B5EF4-FFF2-40B4-BE49-F238E27FC236}">
                <a16:creationId xmlns:a16="http://schemas.microsoft.com/office/drawing/2014/main" id="{00000000-0008-0000-0800-0000A26E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57" y="623"/>
            <a:ext cx="436" cy="11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n-US" sz="6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Aztec</a:t>
            </a:r>
            <a:endPara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323" name="Text Box 1699">
            <a:extLst>
              <a:ext uri="{FF2B5EF4-FFF2-40B4-BE49-F238E27FC236}">
                <a16:creationId xmlns:a16="http://schemas.microsoft.com/office/drawing/2014/main" id="{00000000-0008-0000-0800-0000A36E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92" y="778"/>
            <a:ext cx="436" cy="11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n-US" sz="6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Bloomfield</a:t>
            </a:r>
            <a:endPara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324" name="Text Box 1700">
            <a:extLst>
              <a:ext uri="{FF2B5EF4-FFF2-40B4-BE49-F238E27FC236}">
                <a16:creationId xmlns:a16="http://schemas.microsoft.com/office/drawing/2014/main" id="{00000000-0008-0000-0800-0000A46E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98" y="796"/>
            <a:ext cx="188" cy="13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22</a:t>
            </a:r>
            <a:endPara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325" name="Text Box 1701">
            <a:extLst>
              <a:ext uri="{FF2B5EF4-FFF2-40B4-BE49-F238E27FC236}">
                <a16:creationId xmlns:a16="http://schemas.microsoft.com/office/drawing/2014/main" id="{00000000-0008-0000-0800-0000A56E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2" y="671"/>
            <a:ext cx="188" cy="13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5</a:t>
            </a:r>
            <a:endPara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326" name="Text Box 1702">
            <a:extLst>
              <a:ext uri="{FF2B5EF4-FFF2-40B4-BE49-F238E27FC236}">
                <a16:creationId xmlns:a16="http://schemas.microsoft.com/office/drawing/2014/main" id="{00000000-0008-0000-0800-0000A66E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57" y="671"/>
            <a:ext cx="194" cy="13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2</a:t>
            </a:r>
            <a:endPara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327" name="Text Box 1703">
            <a:extLst>
              <a:ext uri="{FF2B5EF4-FFF2-40B4-BE49-F238E27FC236}">
                <a16:creationId xmlns:a16="http://schemas.microsoft.com/office/drawing/2014/main" id="{00000000-0008-0000-0800-0000A76E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2" y="885"/>
            <a:ext cx="194" cy="13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6</a:t>
            </a:r>
            <a:endPara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328" name="Text Box 1704">
            <a:extLst>
              <a:ext uri="{FF2B5EF4-FFF2-40B4-BE49-F238E27FC236}">
                <a16:creationId xmlns:a16="http://schemas.microsoft.com/office/drawing/2014/main" id="{00000000-0008-0000-0800-0000A86E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69" y="867"/>
            <a:ext cx="866" cy="17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lnSpc>
                <a:spcPts val="1300"/>
              </a:lnSpc>
              <a:defRPr sz="1000"/>
            </a:pPr>
            <a:r>
              <a:rPr lang="en-US" sz="12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Rio Arriba County</a:t>
            </a:r>
            <a:endParaRPr 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lnSpc>
                <a:spcPts val="1100"/>
              </a:lnSpc>
              <a:defRPr sz="1000"/>
            </a:pPr>
            <a:endParaRPr 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329" name="Text Box 1705">
            <a:extLst>
              <a:ext uri="{FF2B5EF4-FFF2-40B4-BE49-F238E27FC236}">
                <a16:creationId xmlns:a16="http://schemas.microsoft.com/office/drawing/2014/main" id="{00000000-0008-0000-0800-0000A96E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99" y="766"/>
            <a:ext cx="188" cy="13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21</a:t>
            </a:r>
            <a:endPara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330" name="Text Box 1706">
            <a:extLst>
              <a:ext uri="{FF2B5EF4-FFF2-40B4-BE49-F238E27FC236}">
                <a16:creationId xmlns:a16="http://schemas.microsoft.com/office/drawing/2014/main" id="{00000000-0008-0000-0800-0000AA6E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99" y="1104"/>
            <a:ext cx="188" cy="13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53</a:t>
            </a:r>
            <a:endPara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331" name="Text Box 1707">
            <a:extLst>
              <a:ext uri="{FF2B5EF4-FFF2-40B4-BE49-F238E27FC236}">
                <a16:creationId xmlns:a16="http://schemas.microsoft.com/office/drawing/2014/main" id="{00000000-0008-0000-0800-0000AB6E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776" y="1057"/>
            <a:ext cx="194" cy="13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19</a:t>
            </a:r>
            <a:endPara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332" name="Text Box 1708">
            <a:extLst>
              <a:ext uri="{FF2B5EF4-FFF2-40B4-BE49-F238E27FC236}">
                <a16:creationId xmlns:a16="http://schemas.microsoft.com/office/drawing/2014/main" id="{00000000-0008-0000-0800-0000AC6E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970" y="1104"/>
            <a:ext cx="236" cy="13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6-T</a:t>
            </a:r>
            <a:endPara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333" name="Text Box 1709">
            <a:extLst>
              <a:ext uri="{FF2B5EF4-FFF2-40B4-BE49-F238E27FC236}">
                <a16:creationId xmlns:a16="http://schemas.microsoft.com/office/drawing/2014/main" id="{00000000-0008-0000-0800-0000AD6E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33" y="1679"/>
            <a:ext cx="871" cy="17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lnSpc>
                <a:spcPts val="1300"/>
              </a:lnSpc>
              <a:defRPr sz="1000"/>
            </a:pPr>
            <a:r>
              <a:rPr lang="en-US" sz="12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McKinley County</a:t>
            </a:r>
            <a:endParaRPr 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lnSpc>
                <a:spcPts val="1100"/>
              </a:lnSpc>
              <a:defRPr sz="1000"/>
            </a:pPr>
            <a:endParaRPr 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334" name="Text Box 1710">
            <a:extLst>
              <a:ext uri="{FF2B5EF4-FFF2-40B4-BE49-F238E27FC236}">
                <a16:creationId xmlns:a16="http://schemas.microsoft.com/office/drawing/2014/main" id="{00000000-0008-0000-0800-0000AE6E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653" y="778"/>
            <a:ext cx="765" cy="17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lnSpc>
                <a:spcPts val="1300"/>
              </a:lnSpc>
              <a:defRPr sz="1000"/>
            </a:pPr>
            <a:r>
              <a:rPr lang="en-US" sz="12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Colfax County</a:t>
            </a:r>
            <a:endParaRPr 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lnSpc>
                <a:spcPts val="1100"/>
              </a:lnSpc>
              <a:defRPr sz="1000"/>
            </a:pPr>
            <a:endParaRPr 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335" name="Text Box 1711">
            <a:extLst>
              <a:ext uri="{FF2B5EF4-FFF2-40B4-BE49-F238E27FC236}">
                <a16:creationId xmlns:a16="http://schemas.microsoft.com/office/drawing/2014/main" id="{00000000-0008-0000-0800-0000AF6E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306" y="635"/>
            <a:ext cx="483" cy="17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lnSpc>
                <a:spcPts val="1300"/>
              </a:lnSpc>
              <a:defRPr sz="1000"/>
            </a:pPr>
            <a:r>
              <a:rPr lang="en-US" sz="12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Taos</a:t>
            </a:r>
            <a:endParaRPr 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lnSpc>
                <a:spcPts val="1100"/>
              </a:lnSpc>
              <a:defRPr sz="1000"/>
            </a:pPr>
            <a:endParaRPr 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336" name="Text Box 1712">
            <a:extLst>
              <a:ext uri="{FF2B5EF4-FFF2-40B4-BE49-F238E27FC236}">
                <a16:creationId xmlns:a16="http://schemas.microsoft.com/office/drawing/2014/main" id="{00000000-0008-0000-0800-0000B06E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434" y="4670"/>
            <a:ext cx="124" cy="15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n-US" sz="10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~</a:t>
            </a:r>
            <a:endPara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337" name="Text Box 1713">
            <a:extLst>
              <a:ext uri="{FF2B5EF4-FFF2-40B4-BE49-F238E27FC236}">
                <a16:creationId xmlns:a16="http://schemas.microsoft.com/office/drawing/2014/main" id="{00000000-0008-0000-0800-0000B16E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22" y="4759"/>
            <a:ext cx="430" cy="29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n-US" sz="12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Luna County</a:t>
            </a:r>
            <a:endParaRPr 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338" name="Text Box 1714">
            <a:extLst>
              <a:ext uri="{FF2B5EF4-FFF2-40B4-BE49-F238E27FC236}">
                <a16:creationId xmlns:a16="http://schemas.microsoft.com/office/drawing/2014/main" id="{00000000-0008-0000-0800-0000B26E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46" y="4705"/>
            <a:ext cx="524" cy="2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n-US" sz="12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Dona Ana County</a:t>
            </a:r>
            <a:endParaRPr 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339" name="Text Box 1715">
            <a:extLst>
              <a:ext uri="{FF2B5EF4-FFF2-40B4-BE49-F238E27FC236}">
                <a16:creationId xmlns:a16="http://schemas.microsoft.com/office/drawing/2014/main" id="{00000000-0008-0000-0800-0000B36E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729" y="1525"/>
            <a:ext cx="147" cy="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10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Los </a:t>
            </a:r>
          </a:p>
          <a:p>
            <a:pPr algn="l" rtl="0">
              <a:defRPr sz="1000"/>
            </a:pPr>
            <a:endParaRPr 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340" name="Text Box 1716">
            <a:extLst>
              <a:ext uri="{FF2B5EF4-FFF2-40B4-BE49-F238E27FC236}">
                <a16:creationId xmlns:a16="http://schemas.microsoft.com/office/drawing/2014/main" id="{00000000-0008-0000-0800-0000B46E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9" y="5293"/>
            <a:ext cx="530" cy="2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n-US" sz="12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Hidalgo County</a:t>
            </a:r>
            <a:endParaRPr lang="en-U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en-U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8341" name="Text Box 1717">
            <a:extLst>
              <a:ext uri="{FF2B5EF4-FFF2-40B4-BE49-F238E27FC236}">
                <a16:creationId xmlns:a16="http://schemas.microsoft.com/office/drawing/2014/main" id="{00000000-0008-0000-0800-0000B56E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34" y="1810"/>
            <a:ext cx="489" cy="17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n-US" sz="12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Sandoval</a:t>
            </a:r>
            <a:endPara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342" name="Text Box 1718">
            <a:extLst>
              <a:ext uri="{FF2B5EF4-FFF2-40B4-BE49-F238E27FC236}">
                <a16:creationId xmlns:a16="http://schemas.microsoft.com/office/drawing/2014/main" id="{00000000-0008-0000-0800-0000B66E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354" y="1525"/>
            <a:ext cx="448" cy="17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lnSpc>
                <a:spcPts val="1200"/>
              </a:lnSpc>
              <a:defRPr sz="1000"/>
            </a:pPr>
            <a:r>
              <a:rPr lang="en-US" sz="12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Harding</a:t>
            </a:r>
          </a:p>
          <a:p>
            <a:pPr algn="l" rtl="0">
              <a:lnSpc>
                <a:spcPts val="1200"/>
              </a:lnSpc>
              <a:defRPr sz="1000"/>
            </a:pPr>
            <a:endPara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343" name="Text Box 1719">
            <a:extLst>
              <a:ext uri="{FF2B5EF4-FFF2-40B4-BE49-F238E27FC236}">
                <a16:creationId xmlns:a16="http://schemas.microsoft.com/office/drawing/2014/main" id="{00000000-0008-0000-0800-0000B76E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982" y="2024"/>
            <a:ext cx="477" cy="24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n-US" sz="10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Santa Fe County</a:t>
            </a:r>
            <a:endPara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344" name="Text Box 1720">
            <a:extLst>
              <a:ext uri="{FF2B5EF4-FFF2-40B4-BE49-F238E27FC236}">
                <a16:creationId xmlns:a16="http://schemas.microsoft.com/office/drawing/2014/main" id="{00000000-0008-0000-0800-0000B86E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517" y="2356"/>
            <a:ext cx="406" cy="11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12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Bernalillo</a:t>
            </a:r>
          </a:p>
          <a:p>
            <a:pPr algn="l" rtl="0">
              <a:defRPr sz="1000"/>
            </a:pPr>
            <a:endPara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345" name="Text Box 1721">
            <a:extLst>
              <a:ext uri="{FF2B5EF4-FFF2-40B4-BE49-F238E27FC236}">
                <a16:creationId xmlns:a16="http://schemas.microsoft.com/office/drawing/2014/main" id="{00000000-0008-0000-0800-0000B96E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86" y="2469"/>
            <a:ext cx="765" cy="17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lnSpc>
                <a:spcPts val="1200"/>
              </a:lnSpc>
              <a:defRPr sz="1000"/>
            </a:pPr>
            <a:r>
              <a:rPr lang="en-US" sz="12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Cibola County</a:t>
            </a:r>
          </a:p>
          <a:p>
            <a:pPr algn="l" rtl="0">
              <a:lnSpc>
                <a:spcPts val="1200"/>
              </a:lnSpc>
              <a:defRPr sz="1000"/>
            </a:pPr>
            <a:endPara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346" name="Text Box 1722">
            <a:extLst>
              <a:ext uri="{FF2B5EF4-FFF2-40B4-BE49-F238E27FC236}">
                <a16:creationId xmlns:a16="http://schemas.microsoft.com/office/drawing/2014/main" id="{00000000-0008-0000-0800-0000BA6E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10" y="3003"/>
            <a:ext cx="742" cy="17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n-US" sz="12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Catron County</a:t>
            </a:r>
            <a:endPara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347" name="Text Box 1723">
            <a:extLst>
              <a:ext uri="{FF2B5EF4-FFF2-40B4-BE49-F238E27FC236}">
                <a16:creationId xmlns:a16="http://schemas.microsoft.com/office/drawing/2014/main" id="{00000000-0008-0000-0800-0000BB6E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542" y="1223"/>
            <a:ext cx="265" cy="11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12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Union</a:t>
            </a:r>
            <a:endParaRPr 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348" name="Text Box 1724">
            <a:extLst>
              <a:ext uri="{FF2B5EF4-FFF2-40B4-BE49-F238E27FC236}">
                <a16:creationId xmlns:a16="http://schemas.microsoft.com/office/drawing/2014/main" id="{00000000-0008-0000-0800-0000BC6E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494" y="1395"/>
            <a:ext cx="671" cy="17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lnSpc>
                <a:spcPts val="1300"/>
              </a:lnSpc>
              <a:defRPr sz="1000"/>
            </a:pPr>
            <a:r>
              <a:rPr lang="en-US" sz="12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Mora County</a:t>
            </a:r>
            <a:endParaRPr 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lnSpc>
                <a:spcPts val="1100"/>
              </a:lnSpc>
              <a:defRPr sz="1000"/>
            </a:pPr>
            <a:endParaRPr 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349" name="Text Box 1725">
            <a:extLst>
              <a:ext uri="{FF2B5EF4-FFF2-40B4-BE49-F238E27FC236}">
                <a16:creationId xmlns:a16="http://schemas.microsoft.com/office/drawing/2014/main" id="{00000000-0008-0000-0800-0000BD6E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10" y="4035"/>
            <a:ext cx="765" cy="17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lnSpc>
                <a:spcPts val="1300"/>
              </a:lnSpc>
              <a:defRPr sz="1000"/>
            </a:pPr>
            <a:r>
              <a:rPr lang="en-US" sz="12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Sierra County</a:t>
            </a:r>
            <a:endParaRPr 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lnSpc>
                <a:spcPts val="1100"/>
              </a:lnSpc>
              <a:defRPr sz="1000"/>
            </a:pPr>
            <a:endParaRPr 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350" name="Text Box 1726">
            <a:extLst>
              <a:ext uri="{FF2B5EF4-FFF2-40B4-BE49-F238E27FC236}">
                <a16:creationId xmlns:a16="http://schemas.microsoft.com/office/drawing/2014/main" id="{00000000-0008-0000-0800-0000BE6E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39" y="4130"/>
            <a:ext cx="771" cy="17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lnSpc>
                <a:spcPts val="1300"/>
              </a:lnSpc>
              <a:defRPr sz="1000"/>
            </a:pPr>
            <a:r>
              <a:rPr lang="en-US" sz="12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Grant County</a:t>
            </a:r>
            <a:endParaRPr 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lnSpc>
                <a:spcPts val="1100"/>
              </a:lnSpc>
              <a:defRPr sz="1000"/>
            </a:pPr>
            <a:endParaRPr 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351" name="Text Box 1727">
            <a:extLst>
              <a:ext uri="{FF2B5EF4-FFF2-40B4-BE49-F238E27FC236}">
                <a16:creationId xmlns:a16="http://schemas.microsoft.com/office/drawing/2014/main" id="{00000000-0008-0000-0800-0000BF6E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923" y="4705"/>
            <a:ext cx="765" cy="17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lnSpc>
                <a:spcPts val="1200"/>
              </a:lnSpc>
              <a:defRPr sz="1000"/>
            </a:pPr>
            <a:r>
              <a:rPr lang="en-US" sz="12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Otero County</a:t>
            </a:r>
          </a:p>
          <a:p>
            <a:pPr algn="l" rtl="0">
              <a:lnSpc>
                <a:spcPts val="1200"/>
              </a:lnSpc>
              <a:defRPr sz="1000"/>
            </a:pPr>
            <a:endPara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352" name="Text Box 1728">
            <a:extLst>
              <a:ext uri="{FF2B5EF4-FFF2-40B4-BE49-F238E27FC236}">
                <a16:creationId xmlns:a16="http://schemas.microsoft.com/office/drawing/2014/main" id="{00000000-0008-0000-0800-0000C06E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51" y="3358"/>
            <a:ext cx="771" cy="17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lnSpc>
                <a:spcPts val="1300"/>
              </a:lnSpc>
              <a:defRPr sz="1000"/>
            </a:pPr>
            <a:r>
              <a:rPr lang="en-US" sz="12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Socorro County</a:t>
            </a:r>
            <a:endParaRPr 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lnSpc>
                <a:spcPts val="1100"/>
              </a:lnSpc>
              <a:defRPr sz="1000"/>
            </a:pPr>
            <a:endParaRPr 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353" name="Text Box 1729">
            <a:extLst>
              <a:ext uri="{FF2B5EF4-FFF2-40B4-BE49-F238E27FC236}">
                <a16:creationId xmlns:a16="http://schemas.microsoft.com/office/drawing/2014/main" id="{00000000-0008-0000-0800-0000C16E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518" y="1745"/>
            <a:ext cx="765" cy="11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12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San Miguel County</a:t>
            </a:r>
          </a:p>
          <a:p>
            <a:pPr algn="l" rtl="0">
              <a:defRPr sz="1000"/>
            </a:pPr>
            <a:endPara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354" name="Text Box 1730">
            <a:extLst>
              <a:ext uri="{FF2B5EF4-FFF2-40B4-BE49-F238E27FC236}">
                <a16:creationId xmlns:a16="http://schemas.microsoft.com/office/drawing/2014/main" id="{00000000-0008-0000-0800-0000C26E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487" y="2694"/>
            <a:ext cx="377" cy="11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12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Valencia</a:t>
            </a:r>
            <a:endParaRPr 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355" name="Text Box 1731">
            <a:extLst>
              <a:ext uri="{FF2B5EF4-FFF2-40B4-BE49-F238E27FC236}">
                <a16:creationId xmlns:a16="http://schemas.microsoft.com/office/drawing/2014/main" id="{00000000-0008-0000-0800-0000C36E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870" y="2783"/>
            <a:ext cx="483" cy="11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12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Torrance</a:t>
            </a:r>
            <a:endPara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356" name="Text Box 1732">
            <a:extLst>
              <a:ext uri="{FF2B5EF4-FFF2-40B4-BE49-F238E27FC236}">
                <a16:creationId xmlns:a16="http://schemas.microsoft.com/office/drawing/2014/main" id="{00000000-0008-0000-0800-0000C46E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641" y="2255"/>
            <a:ext cx="577" cy="29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n-US" sz="12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Guadalupe County</a:t>
            </a:r>
            <a:endParaRPr 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357" name="Text Box 1733">
            <a:extLst>
              <a:ext uri="{FF2B5EF4-FFF2-40B4-BE49-F238E27FC236}">
                <a16:creationId xmlns:a16="http://schemas.microsoft.com/office/drawing/2014/main" id="{00000000-0008-0000-0800-0000C56E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400" y="3169"/>
            <a:ext cx="430" cy="2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lnSpc>
                <a:spcPts val="1300"/>
              </a:lnSpc>
              <a:defRPr sz="1000"/>
            </a:pPr>
            <a:r>
              <a:rPr lang="en-US" sz="12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Lincoln County</a:t>
            </a:r>
          </a:p>
          <a:p>
            <a:pPr algn="l" rtl="0">
              <a:defRPr sz="1000"/>
            </a:pPr>
            <a:endPara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358" name="Text Box 1734">
            <a:extLst>
              <a:ext uri="{FF2B5EF4-FFF2-40B4-BE49-F238E27FC236}">
                <a16:creationId xmlns:a16="http://schemas.microsoft.com/office/drawing/2014/main" id="{00000000-0008-0000-0800-0000C66E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572" y="2813"/>
            <a:ext cx="336" cy="11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12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Curry</a:t>
            </a:r>
            <a:endParaRPr 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359" name="Text Box 1735">
            <a:extLst>
              <a:ext uri="{FF2B5EF4-FFF2-40B4-BE49-F238E27FC236}">
                <a16:creationId xmlns:a16="http://schemas.microsoft.com/office/drawing/2014/main" id="{00000000-0008-0000-0800-0000C76E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883" y="2925"/>
            <a:ext cx="477" cy="29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n-US" sz="12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De Baca County</a:t>
            </a:r>
            <a:endParaRPr 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360" name="Text Box 1736">
            <a:extLst>
              <a:ext uri="{FF2B5EF4-FFF2-40B4-BE49-F238E27FC236}">
                <a16:creationId xmlns:a16="http://schemas.microsoft.com/office/drawing/2014/main" id="{00000000-0008-0000-0800-0000C86E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471" y="3347"/>
            <a:ext cx="389" cy="11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12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Roosevelt</a:t>
            </a:r>
            <a:r>
              <a:rPr lang="en-US" sz="10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</a:t>
            </a:r>
          </a:p>
          <a:p>
            <a:pPr algn="l" rtl="0">
              <a:defRPr sz="1000"/>
            </a:pPr>
            <a:endParaRPr 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361" name="Text Box 1737">
            <a:extLst>
              <a:ext uri="{FF2B5EF4-FFF2-40B4-BE49-F238E27FC236}">
                <a16:creationId xmlns:a16="http://schemas.microsoft.com/office/drawing/2014/main" id="{00000000-0008-0000-0800-0000C96E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883" y="3507"/>
            <a:ext cx="477" cy="2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lnSpc>
                <a:spcPts val="1300"/>
              </a:lnSpc>
              <a:defRPr sz="1000"/>
            </a:pPr>
            <a:r>
              <a:rPr lang="en-US" sz="12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Chaves County</a:t>
            </a:r>
          </a:p>
          <a:p>
            <a:pPr algn="l" rtl="0">
              <a:defRPr sz="1000"/>
            </a:pPr>
            <a:endPara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362" name="Text Box 1738">
            <a:extLst>
              <a:ext uri="{FF2B5EF4-FFF2-40B4-BE49-F238E27FC236}">
                <a16:creationId xmlns:a16="http://schemas.microsoft.com/office/drawing/2014/main" id="{00000000-0008-0000-0800-0000CA6E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936" y="4468"/>
            <a:ext cx="524" cy="11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12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Eddy County</a:t>
            </a:r>
            <a:endParaRPr 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00915" name="Freeform 1739">
            <a:extLst>
              <a:ext uri="{FF2B5EF4-FFF2-40B4-BE49-F238E27FC236}">
                <a16:creationId xmlns:a16="http://schemas.microsoft.com/office/drawing/2014/main" id="{00000000-0008-0000-0800-0000D3100300}"/>
              </a:ext>
            </a:extLst>
          </xdr:cNvPr>
          <xdr:cNvSpPr>
            <a:spLocks/>
          </xdr:cNvSpPr>
        </xdr:nvSpPr>
        <xdr:spPr bwMode="auto">
          <a:xfrm>
            <a:off x="1190" y="614"/>
            <a:ext cx="1252" cy="989"/>
          </a:xfrm>
          <a:custGeom>
            <a:avLst/>
            <a:gdLst>
              <a:gd name="T0" fmla="*/ 132 w 1252"/>
              <a:gd name="T1" fmla="*/ 0 h 989"/>
              <a:gd name="T2" fmla="*/ 348 w 1252"/>
              <a:gd name="T3" fmla="*/ 10 h 989"/>
              <a:gd name="T4" fmla="*/ 528 w 1252"/>
              <a:gd name="T5" fmla="*/ 13 h 989"/>
              <a:gd name="T6" fmla="*/ 697 w 1252"/>
              <a:gd name="T7" fmla="*/ 20 h 989"/>
              <a:gd name="T8" fmla="*/ 826 w 1252"/>
              <a:gd name="T9" fmla="*/ 26 h 989"/>
              <a:gd name="T10" fmla="*/ 958 w 1252"/>
              <a:gd name="T11" fmla="*/ 26 h 989"/>
              <a:gd name="T12" fmla="*/ 975 w 1252"/>
              <a:gd name="T13" fmla="*/ 28 h 989"/>
              <a:gd name="T14" fmla="*/ 979 w 1252"/>
              <a:gd name="T15" fmla="*/ 65 h 989"/>
              <a:gd name="T16" fmla="*/ 982 w 1252"/>
              <a:gd name="T17" fmla="*/ 122 h 989"/>
              <a:gd name="T18" fmla="*/ 985 w 1252"/>
              <a:gd name="T19" fmla="*/ 161 h 989"/>
              <a:gd name="T20" fmla="*/ 982 w 1252"/>
              <a:gd name="T21" fmla="*/ 206 h 989"/>
              <a:gd name="T22" fmla="*/ 985 w 1252"/>
              <a:gd name="T23" fmla="*/ 266 h 989"/>
              <a:gd name="T24" fmla="*/ 988 w 1252"/>
              <a:gd name="T25" fmla="*/ 350 h 989"/>
              <a:gd name="T26" fmla="*/ 988 w 1252"/>
              <a:gd name="T27" fmla="*/ 395 h 989"/>
              <a:gd name="T28" fmla="*/ 988 w 1252"/>
              <a:gd name="T29" fmla="*/ 437 h 989"/>
              <a:gd name="T30" fmla="*/ 994 w 1252"/>
              <a:gd name="T31" fmla="*/ 458 h 989"/>
              <a:gd name="T32" fmla="*/ 1006 w 1252"/>
              <a:gd name="T33" fmla="*/ 488 h 989"/>
              <a:gd name="T34" fmla="*/ 1003 w 1252"/>
              <a:gd name="T35" fmla="*/ 524 h 989"/>
              <a:gd name="T36" fmla="*/ 1000 w 1252"/>
              <a:gd name="T37" fmla="*/ 557 h 989"/>
              <a:gd name="T38" fmla="*/ 997 w 1252"/>
              <a:gd name="T39" fmla="*/ 590 h 989"/>
              <a:gd name="T40" fmla="*/ 982 w 1252"/>
              <a:gd name="T41" fmla="*/ 617 h 989"/>
              <a:gd name="T42" fmla="*/ 946 w 1252"/>
              <a:gd name="T43" fmla="*/ 641 h 989"/>
              <a:gd name="T44" fmla="*/ 942 w 1252"/>
              <a:gd name="T45" fmla="*/ 655 h 989"/>
              <a:gd name="T46" fmla="*/ 963 w 1252"/>
              <a:gd name="T47" fmla="*/ 664 h 989"/>
              <a:gd name="T48" fmla="*/ 1054 w 1252"/>
              <a:gd name="T49" fmla="*/ 726 h 989"/>
              <a:gd name="T50" fmla="*/ 1069 w 1252"/>
              <a:gd name="T51" fmla="*/ 749 h 989"/>
              <a:gd name="T52" fmla="*/ 1105 w 1252"/>
              <a:gd name="T53" fmla="*/ 812 h 989"/>
              <a:gd name="T54" fmla="*/ 1156 w 1252"/>
              <a:gd name="T55" fmla="*/ 862 h 989"/>
              <a:gd name="T56" fmla="*/ 1225 w 1252"/>
              <a:gd name="T57" fmla="*/ 902 h 989"/>
              <a:gd name="T58" fmla="*/ 1252 w 1252"/>
              <a:gd name="T59" fmla="*/ 917 h 989"/>
              <a:gd name="T60" fmla="*/ 1243 w 1252"/>
              <a:gd name="T61" fmla="*/ 938 h 989"/>
              <a:gd name="T62" fmla="*/ 1228 w 1252"/>
              <a:gd name="T63" fmla="*/ 951 h 989"/>
              <a:gd name="T64" fmla="*/ 1198 w 1252"/>
              <a:gd name="T65" fmla="*/ 953 h 989"/>
              <a:gd name="T66" fmla="*/ 1174 w 1252"/>
              <a:gd name="T67" fmla="*/ 959 h 989"/>
              <a:gd name="T68" fmla="*/ 1134 w 1252"/>
              <a:gd name="T69" fmla="*/ 955 h 989"/>
              <a:gd name="T70" fmla="*/ 1135 w 1252"/>
              <a:gd name="T71" fmla="*/ 924 h 989"/>
              <a:gd name="T72" fmla="*/ 937 w 1252"/>
              <a:gd name="T73" fmla="*/ 924 h 989"/>
              <a:gd name="T74" fmla="*/ 937 w 1252"/>
              <a:gd name="T75" fmla="*/ 985 h 989"/>
              <a:gd name="T76" fmla="*/ 828 w 1252"/>
              <a:gd name="T77" fmla="*/ 985 h 989"/>
              <a:gd name="T78" fmla="*/ 826 w 1252"/>
              <a:gd name="T79" fmla="*/ 989 h 989"/>
              <a:gd name="T80" fmla="*/ 828 w 1252"/>
              <a:gd name="T81" fmla="*/ 919 h 989"/>
              <a:gd name="T82" fmla="*/ 592 w 1252"/>
              <a:gd name="T83" fmla="*/ 919 h 989"/>
              <a:gd name="T84" fmla="*/ 441 w 1252"/>
              <a:gd name="T85" fmla="*/ 919 h 989"/>
              <a:gd name="T86" fmla="*/ 442 w 1252"/>
              <a:gd name="T87" fmla="*/ 699 h 989"/>
              <a:gd name="T88" fmla="*/ 0 w 1252"/>
              <a:gd name="T89" fmla="*/ 690 h 989"/>
              <a:gd name="T90" fmla="*/ 4 w 1252"/>
              <a:gd name="T91" fmla="*/ 388 h 989"/>
              <a:gd name="T92" fmla="*/ 10 w 1252"/>
              <a:gd name="T93" fmla="*/ 185 h 989"/>
              <a:gd name="T94" fmla="*/ 18 w 1252"/>
              <a:gd name="T95" fmla="*/ 159 h 989"/>
              <a:gd name="T96" fmla="*/ 109 w 1252"/>
              <a:gd name="T97" fmla="*/ 88 h 989"/>
              <a:gd name="T98" fmla="*/ 111 w 1252"/>
              <a:gd name="T99" fmla="*/ 45 h 989"/>
              <a:gd name="T100" fmla="*/ 130 w 1252"/>
              <a:gd name="T101" fmla="*/ 25 h 989"/>
              <a:gd name="T102" fmla="*/ 132 w 1252"/>
              <a:gd name="T103" fmla="*/ 0 h 989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1252"/>
              <a:gd name="T157" fmla="*/ 0 h 989"/>
              <a:gd name="T158" fmla="*/ 1252 w 1252"/>
              <a:gd name="T159" fmla="*/ 989 h 989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1252" h="989">
                <a:moveTo>
                  <a:pt x="132" y="0"/>
                </a:moveTo>
                <a:lnTo>
                  <a:pt x="348" y="10"/>
                </a:lnTo>
                <a:lnTo>
                  <a:pt x="528" y="13"/>
                </a:lnTo>
                <a:lnTo>
                  <a:pt x="697" y="20"/>
                </a:lnTo>
                <a:lnTo>
                  <a:pt x="826" y="26"/>
                </a:lnTo>
                <a:lnTo>
                  <a:pt x="958" y="26"/>
                </a:lnTo>
                <a:lnTo>
                  <a:pt x="975" y="28"/>
                </a:lnTo>
                <a:lnTo>
                  <a:pt x="979" y="65"/>
                </a:lnTo>
                <a:lnTo>
                  <a:pt x="982" y="122"/>
                </a:lnTo>
                <a:lnTo>
                  <a:pt x="985" y="161"/>
                </a:lnTo>
                <a:lnTo>
                  <a:pt x="982" y="206"/>
                </a:lnTo>
                <a:lnTo>
                  <a:pt x="985" y="266"/>
                </a:lnTo>
                <a:lnTo>
                  <a:pt x="988" y="350"/>
                </a:lnTo>
                <a:lnTo>
                  <a:pt x="988" y="395"/>
                </a:lnTo>
                <a:lnTo>
                  <a:pt x="988" y="437"/>
                </a:lnTo>
                <a:lnTo>
                  <a:pt x="994" y="458"/>
                </a:lnTo>
                <a:lnTo>
                  <a:pt x="1006" y="488"/>
                </a:lnTo>
                <a:lnTo>
                  <a:pt x="1003" y="524"/>
                </a:lnTo>
                <a:lnTo>
                  <a:pt x="1000" y="557"/>
                </a:lnTo>
                <a:lnTo>
                  <a:pt x="997" y="590"/>
                </a:lnTo>
                <a:lnTo>
                  <a:pt x="982" y="617"/>
                </a:lnTo>
                <a:lnTo>
                  <a:pt x="946" y="641"/>
                </a:lnTo>
                <a:lnTo>
                  <a:pt x="942" y="655"/>
                </a:lnTo>
                <a:lnTo>
                  <a:pt x="963" y="664"/>
                </a:lnTo>
                <a:lnTo>
                  <a:pt x="1054" y="726"/>
                </a:lnTo>
                <a:lnTo>
                  <a:pt x="1069" y="749"/>
                </a:lnTo>
                <a:lnTo>
                  <a:pt x="1105" y="812"/>
                </a:lnTo>
                <a:lnTo>
                  <a:pt x="1156" y="862"/>
                </a:lnTo>
                <a:lnTo>
                  <a:pt x="1225" y="902"/>
                </a:lnTo>
                <a:lnTo>
                  <a:pt x="1252" y="917"/>
                </a:lnTo>
                <a:lnTo>
                  <a:pt x="1243" y="938"/>
                </a:lnTo>
                <a:lnTo>
                  <a:pt x="1228" y="951"/>
                </a:lnTo>
                <a:lnTo>
                  <a:pt x="1198" y="953"/>
                </a:lnTo>
                <a:lnTo>
                  <a:pt x="1174" y="959"/>
                </a:lnTo>
                <a:cubicBezTo>
                  <a:pt x="1137" y="962"/>
                  <a:pt x="1140" y="961"/>
                  <a:pt x="1134" y="955"/>
                </a:cubicBezTo>
                <a:lnTo>
                  <a:pt x="1135" y="924"/>
                </a:lnTo>
                <a:lnTo>
                  <a:pt x="937" y="924"/>
                </a:lnTo>
                <a:lnTo>
                  <a:pt x="937" y="985"/>
                </a:lnTo>
                <a:lnTo>
                  <a:pt x="828" y="985"/>
                </a:lnTo>
                <a:lnTo>
                  <a:pt x="826" y="989"/>
                </a:lnTo>
                <a:lnTo>
                  <a:pt x="828" y="919"/>
                </a:lnTo>
                <a:lnTo>
                  <a:pt x="592" y="919"/>
                </a:lnTo>
                <a:lnTo>
                  <a:pt x="441" y="919"/>
                </a:lnTo>
                <a:lnTo>
                  <a:pt x="442" y="699"/>
                </a:lnTo>
                <a:lnTo>
                  <a:pt x="0" y="690"/>
                </a:lnTo>
                <a:lnTo>
                  <a:pt x="4" y="388"/>
                </a:lnTo>
                <a:lnTo>
                  <a:pt x="10" y="185"/>
                </a:lnTo>
                <a:lnTo>
                  <a:pt x="18" y="159"/>
                </a:lnTo>
                <a:lnTo>
                  <a:pt x="109" y="88"/>
                </a:lnTo>
                <a:lnTo>
                  <a:pt x="111" y="45"/>
                </a:lnTo>
                <a:lnTo>
                  <a:pt x="130" y="25"/>
                </a:lnTo>
                <a:lnTo>
                  <a:pt x="132" y="0"/>
                </a:lnTo>
                <a:close/>
              </a:path>
            </a:pathLst>
          </a:custGeom>
          <a:noFill/>
          <a:ln w="15875" cap="flat" cmpd="sng">
            <a:solidFill>
              <a:srgbClr val="CC000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0916" name="Freeform 1740">
            <a:extLst>
              <a:ext uri="{FF2B5EF4-FFF2-40B4-BE49-F238E27FC236}">
                <a16:creationId xmlns:a16="http://schemas.microsoft.com/office/drawing/2014/main" id="{00000000-0008-0000-0800-0000D4100300}"/>
              </a:ext>
            </a:extLst>
          </xdr:cNvPr>
          <xdr:cNvSpPr>
            <a:spLocks/>
          </xdr:cNvSpPr>
        </xdr:nvSpPr>
        <xdr:spPr bwMode="auto">
          <a:xfrm>
            <a:off x="2133" y="642"/>
            <a:ext cx="507" cy="882"/>
          </a:xfrm>
          <a:custGeom>
            <a:avLst/>
            <a:gdLst>
              <a:gd name="T0" fmla="*/ 38 w 507"/>
              <a:gd name="T1" fmla="*/ 2 h 882"/>
              <a:gd name="T2" fmla="*/ 489 w 507"/>
              <a:gd name="T3" fmla="*/ 0 h 882"/>
              <a:gd name="T4" fmla="*/ 483 w 507"/>
              <a:gd name="T5" fmla="*/ 27 h 882"/>
              <a:gd name="T6" fmla="*/ 489 w 507"/>
              <a:gd name="T7" fmla="*/ 48 h 882"/>
              <a:gd name="T8" fmla="*/ 507 w 507"/>
              <a:gd name="T9" fmla="*/ 72 h 882"/>
              <a:gd name="T10" fmla="*/ 504 w 507"/>
              <a:gd name="T11" fmla="*/ 96 h 882"/>
              <a:gd name="T12" fmla="*/ 492 w 507"/>
              <a:gd name="T13" fmla="*/ 114 h 882"/>
              <a:gd name="T14" fmla="*/ 492 w 507"/>
              <a:gd name="T15" fmla="*/ 134 h 882"/>
              <a:gd name="T16" fmla="*/ 495 w 507"/>
              <a:gd name="T17" fmla="*/ 165 h 882"/>
              <a:gd name="T18" fmla="*/ 492 w 507"/>
              <a:gd name="T19" fmla="*/ 195 h 882"/>
              <a:gd name="T20" fmla="*/ 492 w 507"/>
              <a:gd name="T21" fmla="*/ 222 h 882"/>
              <a:gd name="T22" fmla="*/ 483 w 507"/>
              <a:gd name="T23" fmla="*/ 249 h 882"/>
              <a:gd name="T24" fmla="*/ 456 w 507"/>
              <a:gd name="T25" fmla="*/ 243 h 882"/>
              <a:gd name="T26" fmla="*/ 428 w 507"/>
              <a:gd name="T27" fmla="*/ 269 h 882"/>
              <a:gd name="T28" fmla="*/ 414 w 507"/>
              <a:gd name="T29" fmla="*/ 282 h 882"/>
              <a:gd name="T30" fmla="*/ 411 w 507"/>
              <a:gd name="T31" fmla="*/ 306 h 882"/>
              <a:gd name="T32" fmla="*/ 414 w 507"/>
              <a:gd name="T33" fmla="*/ 347 h 882"/>
              <a:gd name="T34" fmla="*/ 413 w 507"/>
              <a:gd name="T35" fmla="*/ 366 h 882"/>
              <a:gd name="T36" fmla="*/ 417 w 507"/>
              <a:gd name="T37" fmla="*/ 420 h 882"/>
              <a:gd name="T38" fmla="*/ 429 w 507"/>
              <a:gd name="T39" fmla="*/ 444 h 882"/>
              <a:gd name="T40" fmla="*/ 429 w 507"/>
              <a:gd name="T41" fmla="*/ 462 h 882"/>
              <a:gd name="T42" fmla="*/ 417 w 507"/>
              <a:gd name="T43" fmla="*/ 501 h 882"/>
              <a:gd name="T44" fmla="*/ 426 w 507"/>
              <a:gd name="T45" fmla="*/ 522 h 882"/>
              <a:gd name="T46" fmla="*/ 426 w 507"/>
              <a:gd name="T47" fmla="*/ 567 h 882"/>
              <a:gd name="T48" fmla="*/ 429 w 507"/>
              <a:gd name="T49" fmla="*/ 606 h 882"/>
              <a:gd name="T50" fmla="*/ 423 w 507"/>
              <a:gd name="T51" fmla="*/ 627 h 882"/>
              <a:gd name="T52" fmla="*/ 411 w 507"/>
              <a:gd name="T53" fmla="*/ 657 h 882"/>
              <a:gd name="T54" fmla="*/ 372 w 507"/>
              <a:gd name="T55" fmla="*/ 696 h 882"/>
              <a:gd name="T56" fmla="*/ 363 w 507"/>
              <a:gd name="T57" fmla="*/ 714 h 882"/>
              <a:gd name="T58" fmla="*/ 378 w 507"/>
              <a:gd name="T59" fmla="*/ 759 h 882"/>
              <a:gd name="T60" fmla="*/ 375 w 507"/>
              <a:gd name="T61" fmla="*/ 783 h 882"/>
              <a:gd name="T62" fmla="*/ 360 w 507"/>
              <a:gd name="T63" fmla="*/ 804 h 882"/>
              <a:gd name="T64" fmla="*/ 363 w 507"/>
              <a:gd name="T65" fmla="*/ 822 h 882"/>
              <a:gd name="T66" fmla="*/ 354 w 507"/>
              <a:gd name="T67" fmla="*/ 849 h 882"/>
              <a:gd name="T68" fmla="*/ 345 w 507"/>
              <a:gd name="T69" fmla="*/ 849 h 882"/>
              <a:gd name="T70" fmla="*/ 327 w 507"/>
              <a:gd name="T71" fmla="*/ 870 h 882"/>
              <a:gd name="T72" fmla="*/ 303 w 507"/>
              <a:gd name="T73" fmla="*/ 882 h 882"/>
              <a:gd name="T74" fmla="*/ 252 w 507"/>
              <a:gd name="T75" fmla="*/ 852 h 882"/>
              <a:gd name="T76" fmla="*/ 201 w 507"/>
              <a:gd name="T77" fmla="*/ 822 h 882"/>
              <a:gd name="T78" fmla="*/ 174 w 507"/>
              <a:gd name="T79" fmla="*/ 792 h 882"/>
              <a:gd name="T80" fmla="*/ 144 w 507"/>
              <a:gd name="T81" fmla="*/ 744 h 882"/>
              <a:gd name="T82" fmla="*/ 117 w 507"/>
              <a:gd name="T83" fmla="*/ 702 h 882"/>
              <a:gd name="T84" fmla="*/ 102 w 507"/>
              <a:gd name="T85" fmla="*/ 690 h 882"/>
              <a:gd name="T86" fmla="*/ 63 w 507"/>
              <a:gd name="T87" fmla="*/ 660 h 882"/>
              <a:gd name="T88" fmla="*/ 14 w 507"/>
              <a:gd name="T89" fmla="*/ 635 h 882"/>
              <a:gd name="T90" fmla="*/ 0 w 507"/>
              <a:gd name="T91" fmla="*/ 618 h 882"/>
              <a:gd name="T92" fmla="*/ 27 w 507"/>
              <a:gd name="T93" fmla="*/ 594 h 882"/>
              <a:gd name="T94" fmla="*/ 48 w 507"/>
              <a:gd name="T95" fmla="*/ 576 h 882"/>
              <a:gd name="T96" fmla="*/ 54 w 507"/>
              <a:gd name="T97" fmla="*/ 546 h 882"/>
              <a:gd name="T98" fmla="*/ 57 w 507"/>
              <a:gd name="T99" fmla="*/ 507 h 882"/>
              <a:gd name="T100" fmla="*/ 63 w 507"/>
              <a:gd name="T101" fmla="*/ 486 h 882"/>
              <a:gd name="T102" fmla="*/ 63 w 507"/>
              <a:gd name="T103" fmla="*/ 456 h 882"/>
              <a:gd name="T104" fmla="*/ 54 w 507"/>
              <a:gd name="T105" fmla="*/ 440 h 882"/>
              <a:gd name="T106" fmla="*/ 51 w 507"/>
              <a:gd name="T107" fmla="*/ 414 h 882"/>
              <a:gd name="T108" fmla="*/ 45 w 507"/>
              <a:gd name="T109" fmla="*/ 252 h 882"/>
              <a:gd name="T110" fmla="*/ 39 w 507"/>
              <a:gd name="T111" fmla="*/ 204 h 882"/>
              <a:gd name="T112" fmla="*/ 45 w 507"/>
              <a:gd name="T113" fmla="*/ 114 h 882"/>
              <a:gd name="T114" fmla="*/ 39 w 507"/>
              <a:gd name="T115" fmla="*/ 81 h 882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w 507"/>
              <a:gd name="T175" fmla="*/ 0 h 882"/>
              <a:gd name="T176" fmla="*/ 507 w 507"/>
              <a:gd name="T177" fmla="*/ 882 h 882"/>
            </a:gdLst>
            <a:ahLst/>
            <a:cxnLst>
              <a:cxn ang="T116">
                <a:pos x="T0" y="T1"/>
              </a:cxn>
              <a:cxn ang="T117">
                <a:pos x="T2" y="T3"/>
              </a:cxn>
              <a:cxn ang="T118">
                <a:pos x="T4" y="T5"/>
              </a:cxn>
              <a:cxn ang="T119">
                <a:pos x="T6" y="T7"/>
              </a:cxn>
              <a:cxn ang="T120">
                <a:pos x="T8" y="T9"/>
              </a:cxn>
              <a:cxn ang="T121">
                <a:pos x="T10" y="T11"/>
              </a:cxn>
              <a:cxn ang="T122">
                <a:pos x="T12" y="T13"/>
              </a:cxn>
              <a:cxn ang="T123">
                <a:pos x="T14" y="T15"/>
              </a:cxn>
              <a:cxn ang="T124">
                <a:pos x="T16" y="T17"/>
              </a:cxn>
              <a:cxn ang="T125">
                <a:pos x="T18" y="T19"/>
              </a:cxn>
              <a:cxn ang="T126">
                <a:pos x="T20" y="T21"/>
              </a:cxn>
              <a:cxn ang="T127">
                <a:pos x="T22" y="T23"/>
              </a:cxn>
              <a:cxn ang="T128">
                <a:pos x="T24" y="T25"/>
              </a:cxn>
              <a:cxn ang="T129">
                <a:pos x="T26" y="T27"/>
              </a:cxn>
              <a:cxn ang="T130">
                <a:pos x="T28" y="T29"/>
              </a:cxn>
              <a:cxn ang="T131">
                <a:pos x="T30" y="T31"/>
              </a:cxn>
              <a:cxn ang="T132">
                <a:pos x="T32" y="T33"/>
              </a:cxn>
              <a:cxn ang="T133">
                <a:pos x="T34" y="T35"/>
              </a:cxn>
              <a:cxn ang="T134">
                <a:pos x="T36" y="T37"/>
              </a:cxn>
              <a:cxn ang="T135">
                <a:pos x="T38" y="T39"/>
              </a:cxn>
              <a:cxn ang="T136">
                <a:pos x="T40" y="T41"/>
              </a:cxn>
              <a:cxn ang="T137">
                <a:pos x="T42" y="T43"/>
              </a:cxn>
              <a:cxn ang="T138">
                <a:pos x="T44" y="T45"/>
              </a:cxn>
              <a:cxn ang="T139">
                <a:pos x="T46" y="T47"/>
              </a:cxn>
              <a:cxn ang="T140">
                <a:pos x="T48" y="T49"/>
              </a:cxn>
              <a:cxn ang="T141">
                <a:pos x="T50" y="T51"/>
              </a:cxn>
              <a:cxn ang="T142">
                <a:pos x="T52" y="T53"/>
              </a:cxn>
              <a:cxn ang="T143">
                <a:pos x="T54" y="T55"/>
              </a:cxn>
              <a:cxn ang="T144">
                <a:pos x="T56" y="T57"/>
              </a:cxn>
              <a:cxn ang="T145">
                <a:pos x="T58" y="T59"/>
              </a:cxn>
              <a:cxn ang="T146">
                <a:pos x="T60" y="T61"/>
              </a:cxn>
              <a:cxn ang="T147">
                <a:pos x="T62" y="T63"/>
              </a:cxn>
              <a:cxn ang="T148">
                <a:pos x="T64" y="T65"/>
              </a:cxn>
              <a:cxn ang="T149">
                <a:pos x="T66" y="T67"/>
              </a:cxn>
              <a:cxn ang="T150">
                <a:pos x="T68" y="T69"/>
              </a:cxn>
              <a:cxn ang="T151">
                <a:pos x="T70" y="T71"/>
              </a:cxn>
              <a:cxn ang="T152">
                <a:pos x="T72" y="T73"/>
              </a:cxn>
              <a:cxn ang="T153">
                <a:pos x="T74" y="T75"/>
              </a:cxn>
              <a:cxn ang="T154">
                <a:pos x="T76" y="T77"/>
              </a:cxn>
              <a:cxn ang="T155">
                <a:pos x="T78" y="T79"/>
              </a:cxn>
              <a:cxn ang="T156">
                <a:pos x="T80" y="T81"/>
              </a:cxn>
              <a:cxn ang="T157">
                <a:pos x="T82" y="T83"/>
              </a:cxn>
              <a:cxn ang="T158">
                <a:pos x="T84" y="T85"/>
              </a:cxn>
              <a:cxn ang="T159">
                <a:pos x="T86" y="T87"/>
              </a:cxn>
              <a:cxn ang="T160">
                <a:pos x="T88" y="T89"/>
              </a:cxn>
              <a:cxn ang="T161">
                <a:pos x="T90" y="T91"/>
              </a:cxn>
              <a:cxn ang="T162">
                <a:pos x="T92" y="T93"/>
              </a:cxn>
              <a:cxn ang="T163">
                <a:pos x="T94" y="T95"/>
              </a:cxn>
              <a:cxn ang="T164">
                <a:pos x="T96" y="T97"/>
              </a:cxn>
              <a:cxn ang="T165">
                <a:pos x="T98" y="T99"/>
              </a:cxn>
              <a:cxn ang="T166">
                <a:pos x="T100" y="T101"/>
              </a:cxn>
              <a:cxn ang="T167">
                <a:pos x="T102" y="T103"/>
              </a:cxn>
              <a:cxn ang="T168">
                <a:pos x="T104" y="T105"/>
              </a:cxn>
              <a:cxn ang="T169">
                <a:pos x="T106" y="T107"/>
              </a:cxn>
              <a:cxn ang="T170">
                <a:pos x="T108" y="T109"/>
              </a:cxn>
              <a:cxn ang="T171">
                <a:pos x="T110" y="T111"/>
              </a:cxn>
              <a:cxn ang="T172">
                <a:pos x="T112" y="T113"/>
              </a:cxn>
              <a:cxn ang="T173">
                <a:pos x="T114" y="T115"/>
              </a:cxn>
            </a:cxnLst>
            <a:rect l="T174" t="T175" r="T176" b="T177"/>
            <a:pathLst>
              <a:path w="507" h="882">
                <a:moveTo>
                  <a:pt x="38" y="2"/>
                </a:moveTo>
                <a:lnTo>
                  <a:pt x="489" y="0"/>
                </a:lnTo>
                <a:lnTo>
                  <a:pt x="483" y="27"/>
                </a:lnTo>
                <a:lnTo>
                  <a:pt x="489" y="48"/>
                </a:lnTo>
                <a:lnTo>
                  <a:pt x="507" y="72"/>
                </a:lnTo>
                <a:lnTo>
                  <a:pt x="504" y="96"/>
                </a:lnTo>
                <a:lnTo>
                  <a:pt x="492" y="114"/>
                </a:lnTo>
                <a:lnTo>
                  <a:pt x="492" y="134"/>
                </a:lnTo>
                <a:lnTo>
                  <a:pt x="495" y="165"/>
                </a:lnTo>
                <a:lnTo>
                  <a:pt x="492" y="195"/>
                </a:lnTo>
                <a:lnTo>
                  <a:pt x="492" y="222"/>
                </a:lnTo>
                <a:lnTo>
                  <a:pt x="483" y="249"/>
                </a:lnTo>
                <a:lnTo>
                  <a:pt x="456" y="243"/>
                </a:lnTo>
                <a:lnTo>
                  <a:pt x="428" y="269"/>
                </a:lnTo>
                <a:cubicBezTo>
                  <a:pt x="412" y="279"/>
                  <a:pt x="414" y="273"/>
                  <a:pt x="414" y="282"/>
                </a:cubicBezTo>
                <a:lnTo>
                  <a:pt x="411" y="306"/>
                </a:lnTo>
                <a:lnTo>
                  <a:pt x="414" y="347"/>
                </a:lnTo>
                <a:lnTo>
                  <a:pt x="413" y="366"/>
                </a:lnTo>
                <a:lnTo>
                  <a:pt x="417" y="420"/>
                </a:lnTo>
                <a:lnTo>
                  <a:pt x="429" y="444"/>
                </a:lnTo>
                <a:lnTo>
                  <a:pt x="429" y="462"/>
                </a:lnTo>
                <a:lnTo>
                  <a:pt x="417" y="501"/>
                </a:lnTo>
                <a:lnTo>
                  <a:pt x="426" y="522"/>
                </a:lnTo>
                <a:lnTo>
                  <a:pt x="426" y="567"/>
                </a:lnTo>
                <a:lnTo>
                  <a:pt x="429" y="606"/>
                </a:lnTo>
                <a:lnTo>
                  <a:pt x="423" y="627"/>
                </a:lnTo>
                <a:cubicBezTo>
                  <a:pt x="420" y="635"/>
                  <a:pt x="419" y="646"/>
                  <a:pt x="411" y="657"/>
                </a:cubicBezTo>
                <a:cubicBezTo>
                  <a:pt x="403" y="668"/>
                  <a:pt x="380" y="687"/>
                  <a:pt x="372" y="696"/>
                </a:cubicBezTo>
                <a:lnTo>
                  <a:pt x="363" y="714"/>
                </a:lnTo>
                <a:lnTo>
                  <a:pt x="378" y="759"/>
                </a:lnTo>
                <a:lnTo>
                  <a:pt x="375" y="783"/>
                </a:lnTo>
                <a:lnTo>
                  <a:pt x="360" y="804"/>
                </a:lnTo>
                <a:lnTo>
                  <a:pt x="363" y="822"/>
                </a:lnTo>
                <a:cubicBezTo>
                  <a:pt x="360" y="831"/>
                  <a:pt x="360" y="841"/>
                  <a:pt x="354" y="849"/>
                </a:cubicBezTo>
                <a:cubicBezTo>
                  <a:pt x="344" y="862"/>
                  <a:pt x="345" y="838"/>
                  <a:pt x="345" y="849"/>
                </a:cubicBezTo>
                <a:lnTo>
                  <a:pt x="327" y="870"/>
                </a:lnTo>
                <a:lnTo>
                  <a:pt x="303" y="882"/>
                </a:lnTo>
                <a:lnTo>
                  <a:pt x="252" y="852"/>
                </a:lnTo>
                <a:lnTo>
                  <a:pt x="201" y="822"/>
                </a:lnTo>
                <a:lnTo>
                  <a:pt x="174" y="792"/>
                </a:lnTo>
                <a:cubicBezTo>
                  <a:pt x="164" y="776"/>
                  <a:pt x="144" y="744"/>
                  <a:pt x="144" y="744"/>
                </a:cubicBezTo>
                <a:lnTo>
                  <a:pt x="117" y="702"/>
                </a:lnTo>
                <a:lnTo>
                  <a:pt x="102" y="690"/>
                </a:lnTo>
                <a:lnTo>
                  <a:pt x="63" y="660"/>
                </a:lnTo>
                <a:lnTo>
                  <a:pt x="14" y="635"/>
                </a:lnTo>
                <a:lnTo>
                  <a:pt x="0" y="618"/>
                </a:lnTo>
                <a:lnTo>
                  <a:pt x="27" y="594"/>
                </a:lnTo>
                <a:lnTo>
                  <a:pt x="48" y="576"/>
                </a:lnTo>
                <a:lnTo>
                  <a:pt x="54" y="546"/>
                </a:lnTo>
                <a:lnTo>
                  <a:pt x="57" y="507"/>
                </a:lnTo>
                <a:lnTo>
                  <a:pt x="63" y="486"/>
                </a:lnTo>
                <a:lnTo>
                  <a:pt x="63" y="456"/>
                </a:lnTo>
                <a:lnTo>
                  <a:pt x="54" y="440"/>
                </a:lnTo>
                <a:lnTo>
                  <a:pt x="51" y="414"/>
                </a:lnTo>
                <a:lnTo>
                  <a:pt x="45" y="252"/>
                </a:lnTo>
                <a:lnTo>
                  <a:pt x="39" y="204"/>
                </a:lnTo>
                <a:lnTo>
                  <a:pt x="45" y="114"/>
                </a:lnTo>
                <a:lnTo>
                  <a:pt x="39" y="81"/>
                </a:lnTo>
              </a:path>
            </a:pathLst>
          </a:custGeom>
          <a:noFill/>
          <a:ln w="15875" cap="flat" cmpd="sng">
            <a:solidFill>
              <a:srgbClr val="CC000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8365" name="Text Box 1741">
            <a:extLst>
              <a:ext uri="{FF2B5EF4-FFF2-40B4-BE49-F238E27FC236}">
                <a16:creationId xmlns:a16="http://schemas.microsoft.com/office/drawing/2014/main" id="{00000000-0008-0000-0800-0000CD6E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39" y="623"/>
            <a:ext cx="383" cy="1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n-US" sz="7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Shiprock</a:t>
            </a:r>
            <a:endPara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00918" name="Freeform 1742">
            <a:extLst>
              <a:ext uri="{FF2B5EF4-FFF2-40B4-BE49-F238E27FC236}">
                <a16:creationId xmlns:a16="http://schemas.microsoft.com/office/drawing/2014/main" id="{00000000-0008-0000-0800-0000D6100300}"/>
              </a:ext>
            </a:extLst>
          </xdr:cNvPr>
          <xdr:cNvSpPr>
            <a:spLocks/>
          </xdr:cNvSpPr>
        </xdr:nvSpPr>
        <xdr:spPr bwMode="auto">
          <a:xfrm>
            <a:off x="2814" y="4296"/>
            <a:ext cx="60" cy="870"/>
          </a:xfrm>
          <a:custGeom>
            <a:avLst/>
            <a:gdLst>
              <a:gd name="T0" fmla="*/ 24 w 60"/>
              <a:gd name="T1" fmla="*/ 870 h 870"/>
              <a:gd name="T2" fmla="*/ 36 w 60"/>
              <a:gd name="T3" fmla="*/ 672 h 870"/>
              <a:gd name="T4" fmla="*/ 51 w 60"/>
              <a:gd name="T5" fmla="*/ 534 h 870"/>
              <a:gd name="T6" fmla="*/ 3 w 60"/>
              <a:gd name="T7" fmla="*/ 261 h 870"/>
              <a:gd name="T8" fmla="*/ 30 w 60"/>
              <a:gd name="T9" fmla="*/ 240 h 870"/>
              <a:gd name="T10" fmla="*/ 36 w 60"/>
              <a:gd name="T11" fmla="*/ 213 h 870"/>
              <a:gd name="T12" fmla="*/ 36 w 60"/>
              <a:gd name="T13" fmla="*/ 120 h 870"/>
              <a:gd name="T14" fmla="*/ 24 w 60"/>
              <a:gd name="T15" fmla="*/ 63 h 870"/>
              <a:gd name="T16" fmla="*/ 30 w 60"/>
              <a:gd name="T17" fmla="*/ 0 h 870"/>
              <a:gd name="T18" fmla="*/ 24 w 60"/>
              <a:gd name="T19" fmla="*/ 870 h 870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w 60"/>
              <a:gd name="T31" fmla="*/ 0 h 870"/>
              <a:gd name="T32" fmla="*/ 60 w 60"/>
              <a:gd name="T33" fmla="*/ 870 h 870"/>
            </a:gdLst>
            <a:ahLst/>
            <a:cxnLst>
              <a:cxn ang="T20">
                <a:pos x="T0" y="T1"/>
              </a:cxn>
              <a:cxn ang="T21">
                <a:pos x="T2" y="T3"/>
              </a:cxn>
              <a:cxn ang="T22">
                <a:pos x="T4" y="T5"/>
              </a:cxn>
              <a:cxn ang="T23">
                <a:pos x="T6" y="T7"/>
              </a:cxn>
              <a:cxn ang="T24">
                <a:pos x="T8" y="T9"/>
              </a:cxn>
              <a:cxn ang="T25">
                <a:pos x="T10" y="T11"/>
              </a:cxn>
              <a:cxn ang="T26">
                <a:pos x="T12" y="T13"/>
              </a:cxn>
              <a:cxn ang="T27">
                <a:pos x="T14" y="T15"/>
              </a:cxn>
              <a:cxn ang="T28">
                <a:pos x="T16" y="T17"/>
              </a:cxn>
              <a:cxn ang="T29">
                <a:pos x="T18" y="T19"/>
              </a:cxn>
            </a:cxnLst>
            <a:rect l="T30" t="T31" r="T32" b="T33"/>
            <a:pathLst>
              <a:path w="60" h="870">
                <a:moveTo>
                  <a:pt x="24" y="870"/>
                </a:moveTo>
                <a:cubicBezTo>
                  <a:pt x="41" y="810"/>
                  <a:pt x="34" y="732"/>
                  <a:pt x="36" y="672"/>
                </a:cubicBezTo>
                <a:cubicBezTo>
                  <a:pt x="38" y="626"/>
                  <a:pt x="48" y="580"/>
                  <a:pt x="51" y="534"/>
                </a:cubicBezTo>
                <a:cubicBezTo>
                  <a:pt x="49" y="428"/>
                  <a:pt x="60" y="347"/>
                  <a:pt x="3" y="261"/>
                </a:cubicBezTo>
                <a:cubicBezTo>
                  <a:pt x="10" y="240"/>
                  <a:pt x="0" y="263"/>
                  <a:pt x="30" y="240"/>
                </a:cubicBezTo>
                <a:cubicBezTo>
                  <a:pt x="37" y="234"/>
                  <a:pt x="34" y="222"/>
                  <a:pt x="36" y="213"/>
                </a:cubicBezTo>
                <a:cubicBezTo>
                  <a:pt x="30" y="183"/>
                  <a:pt x="36" y="151"/>
                  <a:pt x="36" y="120"/>
                </a:cubicBezTo>
                <a:lnTo>
                  <a:pt x="24" y="63"/>
                </a:lnTo>
                <a:lnTo>
                  <a:pt x="30" y="0"/>
                </a:lnTo>
                <a:lnTo>
                  <a:pt x="24" y="870"/>
                </a:lnTo>
                <a:close/>
              </a:path>
            </a:pathLst>
          </a:cu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 cap="flat" cmpd="sng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  <xdr:sp macro="" textlink="">
        <xdr:nvSpPr>
          <xdr:cNvPr id="200919" name="Freeform 1743">
            <a:extLst>
              <a:ext uri="{FF2B5EF4-FFF2-40B4-BE49-F238E27FC236}">
                <a16:creationId xmlns:a16="http://schemas.microsoft.com/office/drawing/2014/main" id="{00000000-0008-0000-0800-0000D7100300}"/>
              </a:ext>
            </a:extLst>
          </xdr:cNvPr>
          <xdr:cNvSpPr>
            <a:spLocks/>
          </xdr:cNvSpPr>
        </xdr:nvSpPr>
        <xdr:spPr bwMode="auto">
          <a:xfrm>
            <a:off x="2838" y="4292"/>
            <a:ext cx="708" cy="877"/>
          </a:xfrm>
          <a:custGeom>
            <a:avLst/>
            <a:gdLst>
              <a:gd name="T0" fmla="*/ 0 w 708"/>
              <a:gd name="T1" fmla="*/ 873 h 877"/>
              <a:gd name="T2" fmla="*/ 0 w 708"/>
              <a:gd name="T3" fmla="*/ 562 h 877"/>
              <a:gd name="T4" fmla="*/ 0 w 708"/>
              <a:gd name="T5" fmla="*/ 337 h 877"/>
              <a:gd name="T6" fmla="*/ 3 w 708"/>
              <a:gd name="T7" fmla="*/ 1 h 877"/>
              <a:gd name="T8" fmla="*/ 645 w 708"/>
              <a:gd name="T9" fmla="*/ 0 h 877"/>
              <a:gd name="T10" fmla="*/ 642 w 708"/>
              <a:gd name="T11" fmla="*/ 151 h 877"/>
              <a:gd name="T12" fmla="*/ 651 w 708"/>
              <a:gd name="T13" fmla="*/ 409 h 877"/>
              <a:gd name="T14" fmla="*/ 708 w 708"/>
              <a:gd name="T15" fmla="*/ 406 h 877"/>
              <a:gd name="T16" fmla="*/ 707 w 708"/>
              <a:gd name="T17" fmla="*/ 877 h 877"/>
              <a:gd name="T18" fmla="*/ 0 w 708"/>
              <a:gd name="T19" fmla="*/ 873 h 877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w 708"/>
              <a:gd name="T31" fmla="*/ 0 h 877"/>
              <a:gd name="T32" fmla="*/ 708 w 708"/>
              <a:gd name="T33" fmla="*/ 877 h 877"/>
            </a:gdLst>
            <a:ahLst/>
            <a:cxnLst>
              <a:cxn ang="T20">
                <a:pos x="T0" y="T1"/>
              </a:cxn>
              <a:cxn ang="T21">
                <a:pos x="T2" y="T3"/>
              </a:cxn>
              <a:cxn ang="T22">
                <a:pos x="T4" y="T5"/>
              </a:cxn>
              <a:cxn ang="T23">
                <a:pos x="T6" y="T7"/>
              </a:cxn>
              <a:cxn ang="T24">
                <a:pos x="T8" y="T9"/>
              </a:cxn>
              <a:cxn ang="T25">
                <a:pos x="T10" y="T11"/>
              </a:cxn>
              <a:cxn ang="T26">
                <a:pos x="T12" y="T13"/>
              </a:cxn>
              <a:cxn ang="T27">
                <a:pos x="T14" y="T15"/>
              </a:cxn>
              <a:cxn ang="T28">
                <a:pos x="T16" y="T17"/>
              </a:cxn>
              <a:cxn ang="T29">
                <a:pos x="T18" y="T19"/>
              </a:cxn>
            </a:cxnLst>
            <a:rect l="T30" t="T31" r="T32" b="T33"/>
            <a:pathLst>
              <a:path w="708" h="877">
                <a:moveTo>
                  <a:pt x="0" y="873"/>
                </a:moveTo>
                <a:lnTo>
                  <a:pt x="0" y="562"/>
                </a:lnTo>
                <a:lnTo>
                  <a:pt x="0" y="337"/>
                </a:lnTo>
                <a:lnTo>
                  <a:pt x="3" y="1"/>
                </a:lnTo>
                <a:lnTo>
                  <a:pt x="645" y="0"/>
                </a:lnTo>
                <a:lnTo>
                  <a:pt x="642" y="151"/>
                </a:lnTo>
                <a:lnTo>
                  <a:pt x="651" y="409"/>
                </a:lnTo>
                <a:lnTo>
                  <a:pt x="708" y="406"/>
                </a:lnTo>
                <a:lnTo>
                  <a:pt x="707" y="877"/>
                </a:lnTo>
                <a:lnTo>
                  <a:pt x="0" y="873"/>
                </a:lnTo>
                <a:close/>
              </a:path>
            </a:pathLst>
          </a:custGeom>
          <a:noFill/>
          <a:ln w="15875" cap="flat" cmpd="sng">
            <a:solidFill>
              <a:srgbClr val="CC000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8368" name="Text Box 1744">
            <a:extLst>
              <a:ext uri="{FF2B5EF4-FFF2-40B4-BE49-F238E27FC236}">
                <a16:creationId xmlns:a16="http://schemas.microsoft.com/office/drawing/2014/main" id="{00000000-0008-0000-0800-0000D06E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460" y="4248"/>
            <a:ext cx="430" cy="29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n-US" sz="12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Lea County</a:t>
            </a:r>
            <a:endParaRPr 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00921" name="Freeform 1745">
            <a:extLst>
              <a:ext uri="{FF2B5EF4-FFF2-40B4-BE49-F238E27FC236}">
                <a16:creationId xmlns:a16="http://schemas.microsoft.com/office/drawing/2014/main" id="{00000000-0008-0000-0800-0000D9100300}"/>
              </a:ext>
            </a:extLst>
          </xdr:cNvPr>
          <xdr:cNvSpPr>
            <a:spLocks/>
          </xdr:cNvSpPr>
        </xdr:nvSpPr>
        <xdr:spPr bwMode="auto">
          <a:xfrm>
            <a:off x="3483" y="3738"/>
            <a:ext cx="477" cy="1437"/>
          </a:xfrm>
          <a:custGeom>
            <a:avLst/>
            <a:gdLst>
              <a:gd name="T0" fmla="*/ 477 w 477"/>
              <a:gd name="T1" fmla="*/ 0 h 1437"/>
              <a:gd name="T2" fmla="*/ 63 w 477"/>
              <a:gd name="T3" fmla="*/ 3 h 1437"/>
              <a:gd name="T4" fmla="*/ 60 w 477"/>
              <a:gd name="T5" fmla="*/ 162 h 1437"/>
              <a:gd name="T6" fmla="*/ 33 w 477"/>
              <a:gd name="T7" fmla="*/ 165 h 1437"/>
              <a:gd name="T8" fmla="*/ 30 w 477"/>
              <a:gd name="T9" fmla="*/ 555 h 1437"/>
              <a:gd name="T10" fmla="*/ 0 w 477"/>
              <a:gd name="T11" fmla="*/ 554 h 1437"/>
              <a:gd name="T12" fmla="*/ 6 w 477"/>
              <a:gd name="T13" fmla="*/ 963 h 1437"/>
              <a:gd name="T14" fmla="*/ 65 w 477"/>
              <a:gd name="T15" fmla="*/ 962 h 1437"/>
              <a:gd name="T16" fmla="*/ 65 w 477"/>
              <a:gd name="T17" fmla="*/ 1433 h 1437"/>
              <a:gd name="T18" fmla="*/ 477 w 477"/>
              <a:gd name="T19" fmla="*/ 1437 h 1437"/>
              <a:gd name="T20" fmla="*/ 477 w 477"/>
              <a:gd name="T21" fmla="*/ 20 h 1437"/>
              <a:gd name="T22" fmla="*/ 477 w 477"/>
              <a:gd name="T23" fmla="*/ 0 h 1437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w 477"/>
              <a:gd name="T37" fmla="*/ 0 h 1437"/>
              <a:gd name="T38" fmla="*/ 477 w 477"/>
              <a:gd name="T39" fmla="*/ 1437 h 1437"/>
            </a:gdLst>
            <a:ahLst/>
            <a:cxnLst>
              <a:cxn ang="T24">
                <a:pos x="T0" y="T1"/>
              </a:cxn>
              <a:cxn ang="T25">
                <a:pos x="T2" y="T3"/>
              </a:cxn>
              <a:cxn ang="T26">
                <a:pos x="T4" y="T5"/>
              </a:cxn>
              <a:cxn ang="T27">
                <a:pos x="T6" y="T7"/>
              </a:cxn>
              <a:cxn ang="T28">
                <a:pos x="T8" y="T9"/>
              </a:cxn>
              <a:cxn ang="T29">
                <a:pos x="T10" y="T11"/>
              </a:cxn>
              <a:cxn ang="T30">
                <a:pos x="T12" y="T13"/>
              </a:cxn>
              <a:cxn ang="T31">
                <a:pos x="T14" y="T15"/>
              </a:cxn>
              <a:cxn ang="T32">
                <a:pos x="T16" y="T17"/>
              </a:cxn>
              <a:cxn ang="T33">
                <a:pos x="T18" y="T19"/>
              </a:cxn>
              <a:cxn ang="T34">
                <a:pos x="T20" y="T21"/>
              </a:cxn>
              <a:cxn ang="T35">
                <a:pos x="T22" y="T23"/>
              </a:cxn>
            </a:cxnLst>
            <a:rect l="T36" t="T37" r="T38" b="T39"/>
            <a:pathLst>
              <a:path w="477" h="1437">
                <a:moveTo>
                  <a:pt x="477" y="0"/>
                </a:moveTo>
                <a:lnTo>
                  <a:pt x="63" y="3"/>
                </a:lnTo>
                <a:lnTo>
                  <a:pt x="60" y="162"/>
                </a:lnTo>
                <a:lnTo>
                  <a:pt x="33" y="165"/>
                </a:lnTo>
                <a:lnTo>
                  <a:pt x="30" y="555"/>
                </a:lnTo>
                <a:lnTo>
                  <a:pt x="0" y="554"/>
                </a:lnTo>
                <a:lnTo>
                  <a:pt x="6" y="963"/>
                </a:lnTo>
                <a:lnTo>
                  <a:pt x="65" y="962"/>
                </a:lnTo>
                <a:lnTo>
                  <a:pt x="65" y="1433"/>
                </a:lnTo>
                <a:lnTo>
                  <a:pt x="477" y="1437"/>
                </a:lnTo>
                <a:lnTo>
                  <a:pt x="477" y="20"/>
                </a:lnTo>
                <a:lnTo>
                  <a:pt x="477" y="0"/>
                </a:lnTo>
                <a:close/>
              </a:path>
            </a:pathLst>
          </a:custGeom>
          <a:noFill/>
          <a:ln w="15875" cap="flat" cmpd="sng">
            <a:solidFill>
              <a:srgbClr val="CC000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0922" name="Freeform 1746">
            <a:extLst>
              <a:ext uri="{FF2B5EF4-FFF2-40B4-BE49-F238E27FC236}">
                <a16:creationId xmlns:a16="http://schemas.microsoft.com/office/drawing/2014/main" id="{00000000-0008-0000-0800-0000DA100300}"/>
              </a:ext>
            </a:extLst>
          </xdr:cNvPr>
          <xdr:cNvSpPr>
            <a:spLocks/>
          </xdr:cNvSpPr>
        </xdr:nvSpPr>
        <xdr:spPr bwMode="auto">
          <a:xfrm>
            <a:off x="2523" y="3273"/>
            <a:ext cx="1155" cy="1425"/>
          </a:xfrm>
          <a:custGeom>
            <a:avLst/>
            <a:gdLst>
              <a:gd name="T0" fmla="*/ 294 w 1155"/>
              <a:gd name="T1" fmla="*/ 0 h 1425"/>
              <a:gd name="T2" fmla="*/ 284 w 1155"/>
              <a:gd name="T3" fmla="*/ 707 h 1425"/>
              <a:gd name="T4" fmla="*/ 279 w 1155"/>
              <a:gd name="T5" fmla="*/ 858 h 1425"/>
              <a:gd name="T6" fmla="*/ 24 w 1155"/>
              <a:gd name="T7" fmla="*/ 864 h 1425"/>
              <a:gd name="T8" fmla="*/ 21 w 1155"/>
              <a:gd name="T9" fmla="*/ 1020 h 1425"/>
              <a:gd name="T10" fmla="*/ 3 w 1155"/>
              <a:gd name="T11" fmla="*/ 1020 h 1425"/>
              <a:gd name="T12" fmla="*/ 0 w 1155"/>
              <a:gd name="T13" fmla="*/ 1422 h 1425"/>
              <a:gd name="T14" fmla="*/ 318 w 1155"/>
              <a:gd name="T15" fmla="*/ 1425 h 1425"/>
              <a:gd name="T16" fmla="*/ 320 w 1155"/>
              <a:gd name="T17" fmla="*/ 1019 h 1425"/>
              <a:gd name="T18" fmla="*/ 996 w 1155"/>
              <a:gd name="T19" fmla="*/ 1019 h 1425"/>
              <a:gd name="T20" fmla="*/ 993 w 1155"/>
              <a:gd name="T21" fmla="*/ 629 h 1425"/>
              <a:gd name="T22" fmla="*/ 1028 w 1155"/>
              <a:gd name="T23" fmla="*/ 629 h 1425"/>
              <a:gd name="T24" fmla="*/ 1026 w 1155"/>
              <a:gd name="T25" fmla="*/ 471 h 1425"/>
              <a:gd name="T26" fmla="*/ 1155 w 1155"/>
              <a:gd name="T27" fmla="*/ 468 h 1425"/>
              <a:gd name="T28" fmla="*/ 1152 w 1155"/>
              <a:gd name="T29" fmla="*/ 390 h 1425"/>
              <a:gd name="T30" fmla="*/ 1023 w 1155"/>
              <a:gd name="T31" fmla="*/ 390 h 1425"/>
              <a:gd name="T32" fmla="*/ 1026 w 1155"/>
              <a:gd name="T33" fmla="*/ 237 h 1425"/>
              <a:gd name="T34" fmla="*/ 948 w 1155"/>
              <a:gd name="T35" fmla="*/ 237 h 1425"/>
              <a:gd name="T36" fmla="*/ 945 w 1155"/>
              <a:gd name="T37" fmla="*/ 6 h 1425"/>
              <a:gd name="T38" fmla="*/ 753 w 1155"/>
              <a:gd name="T39" fmla="*/ 6 h 1425"/>
              <a:gd name="T40" fmla="*/ 750 w 1155"/>
              <a:gd name="T41" fmla="*/ 84 h 1425"/>
              <a:gd name="T42" fmla="*/ 360 w 1155"/>
              <a:gd name="T43" fmla="*/ 81 h 1425"/>
              <a:gd name="T44" fmla="*/ 357 w 1155"/>
              <a:gd name="T45" fmla="*/ 0 h 1425"/>
              <a:gd name="T46" fmla="*/ 294 w 1155"/>
              <a:gd name="T47" fmla="*/ 0 h 1425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w 1155"/>
              <a:gd name="T73" fmla="*/ 0 h 1425"/>
              <a:gd name="T74" fmla="*/ 1155 w 1155"/>
              <a:gd name="T75" fmla="*/ 1425 h 1425"/>
            </a:gdLst>
            <a:ahLst/>
            <a:cxnLst>
              <a:cxn ang="T48">
                <a:pos x="T0" y="T1"/>
              </a:cxn>
              <a:cxn ang="T49">
                <a:pos x="T2" y="T3"/>
              </a:cxn>
              <a:cxn ang="T50">
                <a:pos x="T4" y="T5"/>
              </a:cxn>
              <a:cxn ang="T51">
                <a:pos x="T6" y="T7"/>
              </a:cxn>
              <a:cxn ang="T52">
                <a:pos x="T8" y="T9"/>
              </a:cxn>
              <a:cxn ang="T53">
                <a:pos x="T10" y="T11"/>
              </a:cxn>
              <a:cxn ang="T54">
                <a:pos x="T12" y="T13"/>
              </a:cxn>
              <a:cxn ang="T55">
                <a:pos x="T14" y="T15"/>
              </a:cxn>
              <a:cxn ang="T56">
                <a:pos x="T16" y="T17"/>
              </a:cxn>
              <a:cxn ang="T57">
                <a:pos x="T18" y="T19"/>
              </a:cxn>
              <a:cxn ang="T58">
                <a:pos x="T20" y="T21"/>
              </a:cxn>
              <a:cxn ang="T59">
                <a:pos x="T22" y="T23"/>
              </a:cxn>
              <a:cxn ang="T60">
                <a:pos x="T24" y="T25"/>
              </a:cxn>
              <a:cxn ang="T61">
                <a:pos x="T26" y="T27"/>
              </a:cxn>
              <a:cxn ang="T62">
                <a:pos x="T28" y="T29"/>
              </a:cxn>
              <a:cxn ang="T63">
                <a:pos x="T30" y="T31"/>
              </a:cxn>
              <a:cxn ang="T64">
                <a:pos x="T32" y="T33"/>
              </a:cxn>
              <a:cxn ang="T65">
                <a:pos x="T34" y="T35"/>
              </a:cxn>
              <a:cxn ang="T66">
                <a:pos x="T36" y="T37"/>
              </a:cxn>
              <a:cxn ang="T67">
                <a:pos x="T38" y="T39"/>
              </a:cxn>
              <a:cxn ang="T68">
                <a:pos x="T40" y="T41"/>
              </a:cxn>
              <a:cxn ang="T69">
                <a:pos x="T42" y="T43"/>
              </a:cxn>
              <a:cxn ang="T70">
                <a:pos x="T44" y="T45"/>
              </a:cxn>
              <a:cxn ang="T71">
                <a:pos x="T46" y="T47"/>
              </a:cxn>
            </a:cxnLst>
            <a:rect l="T72" t="T73" r="T74" b="T75"/>
            <a:pathLst>
              <a:path w="1155" h="1425">
                <a:moveTo>
                  <a:pt x="294" y="0"/>
                </a:moveTo>
                <a:lnTo>
                  <a:pt x="284" y="707"/>
                </a:lnTo>
                <a:lnTo>
                  <a:pt x="279" y="858"/>
                </a:lnTo>
                <a:lnTo>
                  <a:pt x="24" y="864"/>
                </a:lnTo>
                <a:lnTo>
                  <a:pt x="21" y="1020"/>
                </a:lnTo>
                <a:lnTo>
                  <a:pt x="3" y="1020"/>
                </a:lnTo>
                <a:lnTo>
                  <a:pt x="0" y="1422"/>
                </a:lnTo>
                <a:lnTo>
                  <a:pt x="318" y="1425"/>
                </a:lnTo>
                <a:lnTo>
                  <a:pt x="320" y="1019"/>
                </a:lnTo>
                <a:lnTo>
                  <a:pt x="996" y="1019"/>
                </a:lnTo>
                <a:lnTo>
                  <a:pt x="993" y="629"/>
                </a:lnTo>
                <a:lnTo>
                  <a:pt x="1028" y="629"/>
                </a:lnTo>
                <a:lnTo>
                  <a:pt x="1026" y="471"/>
                </a:lnTo>
                <a:lnTo>
                  <a:pt x="1155" y="468"/>
                </a:lnTo>
                <a:lnTo>
                  <a:pt x="1152" y="390"/>
                </a:lnTo>
                <a:lnTo>
                  <a:pt x="1023" y="390"/>
                </a:lnTo>
                <a:lnTo>
                  <a:pt x="1026" y="237"/>
                </a:lnTo>
                <a:lnTo>
                  <a:pt x="948" y="237"/>
                </a:lnTo>
                <a:lnTo>
                  <a:pt x="945" y="6"/>
                </a:lnTo>
                <a:lnTo>
                  <a:pt x="753" y="6"/>
                </a:lnTo>
                <a:lnTo>
                  <a:pt x="750" y="84"/>
                </a:lnTo>
                <a:lnTo>
                  <a:pt x="360" y="81"/>
                </a:lnTo>
                <a:lnTo>
                  <a:pt x="357" y="0"/>
                </a:lnTo>
                <a:lnTo>
                  <a:pt x="294" y="0"/>
                </a:lnTo>
                <a:close/>
              </a:path>
            </a:pathLst>
          </a:custGeom>
          <a:noFill/>
          <a:ln w="9525" cap="flat" cmpd="sng">
            <a:solidFill>
              <a:srgbClr val="CC000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0923" name="Freeform 1747">
            <a:extLst>
              <a:ext uri="{FF2B5EF4-FFF2-40B4-BE49-F238E27FC236}">
                <a16:creationId xmlns:a16="http://schemas.microsoft.com/office/drawing/2014/main" id="{00000000-0008-0000-0800-0000DB100300}"/>
              </a:ext>
            </a:extLst>
          </xdr:cNvPr>
          <xdr:cNvSpPr>
            <a:spLocks/>
          </xdr:cNvSpPr>
        </xdr:nvSpPr>
        <xdr:spPr bwMode="auto">
          <a:xfrm>
            <a:off x="3393" y="2814"/>
            <a:ext cx="564" cy="924"/>
          </a:xfrm>
          <a:custGeom>
            <a:avLst/>
            <a:gdLst>
              <a:gd name="T0" fmla="*/ 138 w 564"/>
              <a:gd name="T1" fmla="*/ 0 h 924"/>
              <a:gd name="T2" fmla="*/ 0 w 564"/>
              <a:gd name="T3" fmla="*/ 0 h 924"/>
              <a:gd name="T4" fmla="*/ 8 w 564"/>
              <a:gd name="T5" fmla="*/ 465 h 924"/>
              <a:gd name="T6" fmla="*/ 75 w 564"/>
              <a:gd name="T7" fmla="*/ 465 h 924"/>
              <a:gd name="T8" fmla="*/ 75 w 564"/>
              <a:gd name="T9" fmla="*/ 696 h 924"/>
              <a:gd name="T10" fmla="*/ 153 w 564"/>
              <a:gd name="T11" fmla="*/ 699 h 924"/>
              <a:gd name="T12" fmla="*/ 156 w 564"/>
              <a:gd name="T13" fmla="*/ 849 h 924"/>
              <a:gd name="T14" fmla="*/ 282 w 564"/>
              <a:gd name="T15" fmla="*/ 849 h 924"/>
              <a:gd name="T16" fmla="*/ 282 w 564"/>
              <a:gd name="T17" fmla="*/ 924 h 924"/>
              <a:gd name="T18" fmla="*/ 564 w 564"/>
              <a:gd name="T19" fmla="*/ 924 h 924"/>
              <a:gd name="T20" fmla="*/ 563 w 564"/>
              <a:gd name="T21" fmla="*/ 269 h 924"/>
              <a:gd name="T22" fmla="*/ 135 w 564"/>
              <a:gd name="T23" fmla="*/ 267 h 924"/>
              <a:gd name="T24" fmla="*/ 138 w 564"/>
              <a:gd name="T25" fmla="*/ 0 h 924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w 564"/>
              <a:gd name="T40" fmla="*/ 0 h 924"/>
              <a:gd name="T41" fmla="*/ 564 w 564"/>
              <a:gd name="T42" fmla="*/ 924 h 924"/>
            </a:gdLst>
            <a:ahLst/>
            <a:cxnLst>
              <a:cxn ang="T26">
                <a:pos x="T0" y="T1"/>
              </a:cxn>
              <a:cxn ang="T27">
                <a:pos x="T2" y="T3"/>
              </a:cxn>
              <a:cxn ang="T28">
                <a:pos x="T4" y="T5"/>
              </a:cxn>
              <a:cxn ang="T29">
                <a:pos x="T6" y="T7"/>
              </a:cxn>
              <a:cxn ang="T30">
                <a:pos x="T8" y="T9"/>
              </a:cxn>
              <a:cxn ang="T31">
                <a:pos x="T10" y="T11"/>
              </a:cxn>
              <a:cxn ang="T32">
                <a:pos x="T12" y="T13"/>
              </a:cxn>
              <a:cxn ang="T33">
                <a:pos x="T14" y="T15"/>
              </a:cxn>
              <a:cxn ang="T34">
                <a:pos x="T16" y="T17"/>
              </a:cxn>
              <a:cxn ang="T35">
                <a:pos x="T18" y="T19"/>
              </a:cxn>
              <a:cxn ang="T36">
                <a:pos x="T20" y="T21"/>
              </a:cxn>
              <a:cxn ang="T37">
                <a:pos x="T22" y="T23"/>
              </a:cxn>
              <a:cxn ang="T38">
                <a:pos x="T24" y="T25"/>
              </a:cxn>
            </a:cxnLst>
            <a:rect l="T39" t="T40" r="T41" b="T42"/>
            <a:pathLst>
              <a:path w="564" h="924">
                <a:moveTo>
                  <a:pt x="138" y="0"/>
                </a:moveTo>
                <a:lnTo>
                  <a:pt x="0" y="0"/>
                </a:lnTo>
                <a:lnTo>
                  <a:pt x="8" y="465"/>
                </a:lnTo>
                <a:lnTo>
                  <a:pt x="75" y="465"/>
                </a:lnTo>
                <a:lnTo>
                  <a:pt x="75" y="696"/>
                </a:lnTo>
                <a:lnTo>
                  <a:pt x="153" y="699"/>
                </a:lnTo>
                <a:lnTo>
                  <a:pt x="156" y="849"/>
                </a:lnTo>
                <a:lnTo>
                  <a:pt x="282" y="849"/>
                </a:lnTo>
                <a:lnTo>
                  <a:pt x="282" y="924"/>
                </a:lnTo>
                <a:lnTo>
                  <a:pt x="564" y="924"/>
                </a:lnTo>
                <a:lnTo>
                  <a:pt x="563" y="269"/>
                </a:lnTo>
                <a:lnTo>
                  <a:pt x="135" y="267"/>
                </a:lnTo>
                <a:lnTo>
                  <a:pt x="138" y="0"/>
                </a:lnTo>
                <a:close/>
              </a:path>
            </a:pathLst>
          </a:custGeom>
          <a:noFill/>
          <a:ln w="15875" cap="flat" cmpd="sng">
            <a:solidFill>
              <a:srgbClr val="CC000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0924" name="Freeform 1748">
            <a:extLst>
              <a:ext uri="{FF2B5EF4-FFF2-40B4-BE49-F238E27FC236}">
                <a16:creationId xmlns:a16="http://schemas.microsoft.com/office/drawing/2014/main" id="{00000000-0008-0000-0800-0000DC100300}"/>
              </a:ext>
            </a:extLst>
          </xdr:cNvPr>
          <xdr:cNvSpPr>
            <a:spLocks/>
          </xdr:cNvSpPr>
        </xdr:nvSpPr>
        <xdr:spPr bwMode="auto">
          <a:xfrm>
            <a:off x="3531" y="2493"/>
            <a:ext cx="425" cy="588"/>
          </a:xfrm>
          <a:custGeom>
            <a:avLst/>
            <a:gdLst>
              <a:gd name="T0" fmla="*/ 425 w 425"/>
              <a:gd name="T1" fmla="*/ 588 h 588"/>
              <a:gd name="T2" fmla="*/ 423 w 425"/>
              <a:gd name="T3" fmla="*/ 0 h 588"/>
              <a:gd name="T4" fmla="*/ 273 w 425"/>
              <a:gd name="T5" fmla="*/ 0 h 588"/>
              <a:gd name="T6" fmla="*/ 273 w 425"/>
              <a:gd name="T7" fmla="*/ 78 h 588"/>
              <a:gd name="T8" fmla="*/ 210 w 425"/>
              <a:gd name="T9" fmla="*/ 78 h 588"/>
              <a:gd name="T10" fmla="*/ 207 w 425"/>
              <a:gd name="T11" fmla="*/ 156 h 588"/>
              <a:gd name="T12" fmla="*/ 147 w 425"/>
              <a:gd name="T13" fmla="*/ 156 h 588"/>
              <a:gd name="T14" fmla="*/ 144 w 425"/>
              <a:gd name="T15" fmla="*/ 234 h 588"/>
              <a:gd name="T16" fmla="*/ 18 w 425"/>
              <a:gd name="T17" fmla="*/ 237 h 588"/>
              <a:gd name="T18" fmla="*/ 21 w 425"/>
              <a:gd name="T19" fmla="*/ 317 h 588"/>
              <a:gd name="T20" fmla="*/ 0 w 425"/>
              <a:gd name="T21" fmla="*/ 315 h 588"/>
              <a:gd name="T22" fmla="*/ 3 w 425"/>
              <a:gd name="T23" fmla="*/ 585 h 588"/>
              <a:gd name="T24" fmla="*/ 425 w 425"/>
              <a:gd name="T25" fmla="*/ 588 h 588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w 425"/>
              <a:gd name="T40" fmla="*/ 0 h 588"/>
              <a:gd name="T41" fmla="*/ 425 w 425"/>
              <a:gd name="T42" fmla="*/ 588 h 588"/>
            </a:gdLst>
            <a:ahLst/>
            <a:cxnLst>
              <a:cxn ang="T26">
                <a:pos x="T0" y="T1"/>
              </a:cxn>
              <a:cxn ang="T27">
                <a:pos x="T2" y="T3"/>
              </a:cxn>
              <a:cxn ang="T28">
                <a:pos x="T4" y="T5"/>
              </a:cxn>
              <a:cxn ang="T29">
                <a:pos x="T6" y="T7"/>
              </a:cxn>
              <a:cxn ang="T30">
                <a:pos x="T8" y="T9"/>
              </a:cxn>
              <a:cxn ang="T31">
                <a:pos x="T10" y="T11"/>
              </a:cxn>
              <a:cxn ang="T32">
                <a:pos x="T12" y="T13"/>
              </a:cxn>
              <a:cxn ang="T33">
                <a:pos x="T14" y="T15"/>
              </a:cxn>
              <a:cxn ang="T34">
                <a:pos x="T16" y="T17"/>
              </a:cxn>
              <a:cxn ang="T35">
                <a:pos x="T18" y="T19"/>
              </a:cxn>
              <a:cxn ang="T36">
                <a:pos x="T20" y="T21"/>
              </a:cxn>
              <a:cxn ang="T37">
                <a:pos x="T22" y="T23"/>
              </a:cxn>
              <a:cxn ang="T38">
                <a:pos x="T24" y="T25"/>
              </a:cxn>
            </a:cxnLst>
            <a:rect l="T39" t="T40" r="T41" b="T42"/>
            <a:pathLst>
              <a:path w="425" h="588">
                <a:moveTo>
                  <a:pt x="425" y="588"/>
                </a:moveTo>
                <a:lnTo>
                  <a:pt x="423" y="0"/>
                </a:lnTo>
                <a:lnTo>
                  <a:pt x="273" y="0"/>
                </a:lnTo>
                <a:lnTo>
                  <a:pt x="273" y="78"/>
                </a:lnTo>
                <a:lnTo>
                  <a:pt x="210" y="78"/>
                </a:lnTo>
                <a:lnTo>
                  <a:pt x="207" y="156"/>
                </a:lnTo>
                <a:lnTo>
                  <a:pt x="147" y="156"/>
                </a:lnTo>
                <a:lnTo>
                  <a:pt x="144" y="234"/>
                </a:lnTo>
                <a:lnTo>
                  <a:pt x="18" y="237"/>
                </a:lnTo>
                <a:lnTo>
                  <a:pt x="21" y="317"/>
                </a:lnTo>
                <a:lnTo>
                  <a:pt x="0" y="315"/>
                </a:lnTo>
                <a:lnTo>
                  <a:pt x="3" y="585"/>
                </a:lnTo>
                <a:lnTo>
                  <a:pt x="425" y="588"/>
                </a:lnTo>
                <a:close/>
              </a:path>
            </a:pathLst>
          </a:custGeom>
          <a:noFill/>
          <a:ln w="9525" cap="flat" cmpd="sng">
            <a:solidFill>
              <a:srgbClr val="CC000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0925" name="Freeform 1749">
            <a:extLst>
              <a:ext uri="{FF2B5EF4-FFF2-40B4-BE49-F238E27FC236}">
                <a16:creationId xmlns:a16="http://schemas.microsoft.com/office/drawing/2014/main" id="{00000000-0008-0000-0800-0000DD100300}"/>
              </a:ext>
            </a:extLst>
          </xdr:cNvPr>
          <xdr:cNvSpPr>
            <a:spLocks/>
          </xdr:cNvSpPr>
        </xdr:nvSpPr>
        <xdr:spPr bwMode="auto">
          <a:xfrm>
            <a:off x="1899" y="3041"/>
            <a:ext cx="915" cy="1093"/>
          </a:xfrm>
          <a:custGeom>
            <a:avLst/>
            <a:gdLst>
              <a:gd name="T0" fmla="*/ 284 w 915"/>
              <a:gd name="T1" fmla="*/ 66 h 1093"/>
              <a:gd name="T2" fmla="*/ 662 w 915"/>
              <a:gd name="T3" fmla="*/ 75 h 1093"/>
              <a:gd name="T4" fmla="*/ 660 w 915"/>
              <a:gd name="T5" fmla="*/ 0 h 1093"/>
              <a:gd name="T6" fmla="*/ 915 w 915"/>
              <a:gd name="T7" fmla="*/ 1 h 1093"/>
              <a:gd name="T8" fmla="*/ 912 w 915"/>
              <a:gd name="T9" fmla="*/ 940 h 1093"/>
              <a:gd name="T10" fmla="*/ 903 w 915"/>
              <a:gd name="T11" fmla="*/ 943 h 1093"/>
              <a:gd name="T12" fmla="*/ 906 w 915"/>
              <a:gd name="T13" fmla="*/ 1090 h 1093"/>
              <a:gd name="T14" fmla="*/ 650 w 915"/>
              <a:gd name="T15" fmla="*/ 1093 h 1093"/>
              <a:gd name="T16" fmla="*/ 654 w 915"/>
              <a:gd name="T17" fmla="*/ 937 h 1093"/>
              <a:gd name="T18" fmla="*/ 399 w 915"/>
              <a:gd name="T19" fmla="*/ 937 h 1093"/>
              <a:gd name="T20" fmla="*/ 396 w 915"/>
              <a:gd name="T21" fmla="*/ 856 h 1093"/>
              <a:gd name="T22" fmla="*/ 41 w 915"/>
              <a:gd name="T23" fmla="*/ 855 h 1093"/>
              <a:gd name="T24" fmla="*/ 0 w 915"/>
              <a:gd name="T25" fmla="*/ 855 h 1093"/>
              <a:gd name="T26" fmla="*/ 9 w 915"/>
              <a:gd name="T27" fmla="*/ 604 h 1093"/>
              <a:gd name="T28" fmla="*/ 206 w 915"/>
              <a:gd name="T29" fmla="*/ 607 h 1093"/>
              <a:gd name="T30" fmla="*/ 209 w 915"/>
              <a:gd name="T31" fmla="*/ 448 h 1093"/>
              <a:gd name="T32" fmla="*/ 281 w 915"/>
              <a:gd name="T33" fmla="*/ 450 h 1093"/>
              <a:gd name="T34" fmla="*/ 284 w 915"/>
              <a:gd name="T35" fmla="*/ 66 h 1093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w 915"/>
              <a:gd name="T55" fmla="*/ 0 h 1093"/>
              <a:gd name="T56" fmla="*/ 915 w 915"/>
              <a:gd name="T57" fmla="*/ 1093 h 1093"/>
            </a:gdLst>
            <a:ahLst/>
            <a:cxnLst>
              <a:cxn ang="T36">
                <a:pos x="T0" y="T1"/>
              </a:cxn>
              <a:cxn ang="T37">
                <a:pos x="T2" y="T3"/>
              </a:cxn>
              <a:cxn ang="T38">
                <a:pos x="T4" y="T5"/>
              </a:cxn>
              <a:cxn ang="T39">
                <a:pos x="T6" y="T7"/>
              </a:cxn>
              <a:cxn ang="T40">
                <a:pos x="T8" y="T9"/>
              </a:cxn>
              <a:cxn ang="T41">
                <a:pos x="T10" y="T11"/>
              </a:cxn>
              <a:cxn ang="T42">
                <a:pos x="T12" y="T13"/>
              </a:cxn>
              <a:cxn ang="T43">
                <a:pos x="T14" y="T15"/>
              </a:cxn>
              <a:cxn ang="T44">
                <a:pos x="T16" y="T17"/>
              </a:cxn>
              <a:cxn ang="T45">
                <a:pos x="T18" y="T19"/>
              </a:cxn>
              <a:cxn ang="T46">
                <a:pos x="T20" y="T21"/>
              </a:cxn>
              <a:cxn ang="T47">
                <a:pos x="T22" y="T23"/>
              </a:cxn>
              <a:cxn ang="T48">
                <a:pos x="T24" y="T25"/>
              </a:cxn>
              <a:cxn ang="T49">
                <a:pos x="T26" y="T27"/>
              </a:cxn>
              <a:cxn ang="T50">
                <a:pos x="T28" y="T29"/>
              </a:cxn>
              <a:cxn ang="T51">
                <a:pos x="T30" y="T31"/>
              </a:cxn>
              <a:cxn ang="T52">
                <a:pos x="T32" y="T33"/>
              </a:cxn>
              <a:cxn ang="T53">
                <a:pos x="T34" y="T35"/>
              </a:cxn>
            </a:cxnLst>
            <a:rect l="T54" t="T55" r="T56" b="T57"/>
            <a:pathLst>
              <a:path w="915" h="1093">
                <a:moveTo>
                  <a:pt x="284" y="66"/>
                </a:moveTo>
                <a:lnTo>
                  <a:pt x="662" y="75"/>
                </a:lnTo>
                <a:lnTo>
                  <a:pt x="660" y="0"/>
                </a:lnTo>
                <a:lnTo>
                  <a:pt x="915" y="1"/>
                </a:lnTo>
                <a:lnTo>
                  <a:pt x="912" y="940"/>
                </a:lnTo>
                <a:lnTo>
                  <a:pt x="903" y="943"/>
                </a:lnTo>
                <a:lnTo>
                  <a:pt x="906" y="1090"/>
                </a:lnTo>
                <a:lnTo>
                  <a:pt x="650" y="1093"/>
                </a:lnTo>
                <a:lnTo>
                  <a:pt x="654" y="937"/>
                </a:lnTo>
                <a:lnTo>
                  <a:pt x="399" y="937"/>
                </a:lnTo>
                <a:lnTo>
                  <a:pt x="396" y="856"/>
                </a:lnTo>
                <a:lnTo>
                  <a:pt x="41" y="855"/>
                </a:lnTo>
                <a:lnTo>
                  <a:pt x="0" y="855"/>
                </a:lnTo>
                <a:lnTo>
                  <a:pt x="9" y="604"/>
                </a:lnTo>
                <a:lnTo>
                  <a:pt x="206" y="607"/>
                </a:lnTo>
                <a:lnTo>
                  <a:pt x="209" y="448"/>
                </a:lnTo>
                <a:lnTo>
                  <a:pt x="281" y="450"/>
                </a:lnTo>
                <a:lnTo>
                  <a:pt x="284" y="66"/>
                </a:lnTo>
                <a:close/>
              </a:path>
            </a:pathLst>
          </a:custGeom>
          <a:noFill/>
          <a:ln w="15875" cap="flat" cmpd="sng">
            <a:solidFill>
              <a:srgbClr val="CC000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0926" name="Freeform 1750">
            <a:extLst>
              <a:ext uri="{FF2B5EF4-FFF2-40B4-BE49-F238E27FC236}">
                <a16:creationId xmlns:a16="http://schemas.microsoft.com/office/drawing/2014/main" id="{00000000-0008-0000-0800-0000DE100300}"/>
              </a:ext>
            </a:extLst>
          </xdr:cNvPr>
          <xdr:cNvSpPr>
            <a:spLocks/>
          </xdr:cNvSpPr>
        </xdr:nvSpPr>
        <xdr:spPr bwMode="auto">
          <a:xfrm>
            <a:off x="2562" y="2253"/>
            <a:ext cx="726" cy="786"/>
          </a:xfrm>
          <a:custGeom>
            <a:avLst/>
            <a:gdLst>
              <a:gd name="T0" fmla="*/ 15 w 726"/>
              <a:gd name="T1" fmla="*/ 2 h 786"/>
              <a:gd name="T2" fmla="*/ 726 w 726"/>
              <a:gd name="T3" fmla="*/ 0 h 786"/>
              <a:gd name="T4" fmla="*/ 720 w 726"/>
              <a:gd name="T5" fmla="*/ 396 h 786"/>
              <a:gd name="T6" fmla="*/ 600 w 726"/>
              <a:gd name="T7" fmla="*/ 396 h 786"/>
              <a:gd name="T8" fmla="*/ 603 w 726"/>
              <a:gd name="T9" fmla="*/ 471 h 786"/>
              <a:gd name="T10" fmla="*/ 579 w 726"/>
              <a:gd name="T11" fmla="*/ 477 h 786"/>
              <a:gd name="T12" fmla="*/ 537 w 726"/>
              <a:gd name="T13" fmla="*/ 477 h 786"/>
              <a:gd name="T14" fmla="*/ 528 w 726"/>
              <a:gd name="T15" fmla="*/ 555 h 786"/>
              <a:gd name="T16" fmla="*/ 261 w 726"/>
              <a:gd name="T17" fmla="*/ 555 h 786"/>
              <a:gd name="T18" fmla="*/ 252 w 726"/>
              <a:gd name="T19" fmla="*/ 783 h 786"/>
              <a:gd name="T20" fmla="*/ 0 w 726"/>
              <a:gd name="T21" fmla="*/ 786 h 786"/>
              <a:gd name="T22" fmla="*/ 0 w 726"/>
              <a:gd name="T23" fmla="*/ 555 h 786"/>
              <a:gd name="T24" fmla="*/ 18 w 726"/>
              <a:gd name="T25" fmla="*/ 557 h 786"/>
              <a:gd name="T26" fmla="*/ 15 w 726"/>
              <a:gd name="T27" fmla="*/ 5 h 78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w 726"/>
              <a:gd name="T43" fmla="*/ 0 h 786"/>
              <a:gd name="T44" fmla="*/ 726 w 726"/>
              <a:gd name="T45" fmla="*/ 786 h 786"/>
            </a:gdLst>
            <a:ahLst/>
            <a:cxnLst>
              <a:cxn ang="T28">
                <a:pos x="T0" y="T1"/>
              </a:cxn>
              <a:cxn ang="T29">
                <a:pos x="T2" y="T3"/>
              </a:cxn>
              <a:cxn ang="T30">
                <a:pos x="T4" y="T5"/>
              </a:cxn>
              <a:cxn ang="T31">
                <a:pos x="T6" y="T7"/>
              </a:cxn>
              <a:cxn ang="T32">
                <a:pos x="T8" y="T9"/>
              </a:cxn>
              <a:cxn ang="T33">
                <a:pos x="T10" y="T11"/>
              </a:cxn>
              <a:cxn ang="T34">
                <a:pos x="T12" y="T13"/>
              </a:cxn>
              <a:cxn ang="T35">
                <a:pos x="T14" y="T15"/>
              </a:cxn>
              <a:cxn ang="T36">
                <a:pos x="T16" y="T17"/>
              </a:cxn>
              <a:cxn ang="T37">
                <a:pos x="T18" y="T19"/>
              </a:cxn>
              <a:cxn ang="T38">
                <a:pos x="T20" y="T21"/>
              </a:cxn>
              <a:cxn ang="T39">
                <a:pos x="T22" y="T23"/>
              </a:cxn>
              <a:cxn ang="T40">
                <a:pos x="T24" y="T25"/>
              </a:cxn>
              <a:cxn ang="T41">
                <a:pos x="T26" y="T27"/>
              </a:cxn>
            </a:cxnLst>
            <a:rect l="T42" t="T43" r="T44" b="T45"/>
            <a:pathLst>
              <a:path w="726" h="786">
                <a:moveTo>
                  <a:pt x="15" y="2"/>
                </a:moveTo>
                <a:lnTo>
                  <a:pt x="726" y="0"/>
                </a:lnTo>
                <a:lnTo>
                  <a:pt x="720" y="396"/>
                </a:lnTo>
                <a:lnTo>
                  <a:pt x="600" y="396"/>
                </a:lnTo>
                <a:lnTo>
                  <a:pt x="603" y="471"/>
                </a:lnTo>
                <a:lnTo>
                  <a:pt x="579" y="477"/>
                </a:lnTo>
                <a:lnTo>
                  <a:pt x="537" y="477"/>
                </a:lnTo>
                <a:lnTo>
                  <a:pt x="528" y="555"/>
                </a:lnTo>
                <a:lnTo>
                  <a:pt x="261" y="555"/>
                </a:lnTo>
                <a:lnTo>
                  <a:pt x="252" y="783"/>
                </a:lnTo>
                <a:lnTo>
                  <a:pt x="0" y="786"/>
                </a:lnTo>
                <a:lnTo>
                  <a:pt x="0" y="555"/>
                </a:lnTo>
                <a:lnTo>
                  <a:pt x="18" y="557"/>
                </a:lnTo>
                <a:lnTo>
                  <a:pt x="15" y="5"/>
                </a:lnTo>
              </a:path>
            </a:pathLst>
          </a:custGeom>
          <a:noFill/>
          <a:ln w="15875" cap="flat" cmpd="sng">
            <a:solidFill>
              <a:srgbClr val="CC000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0927" name="Freeform 1751">
            <a:extLst>
              <a:ext uri="{FF2B5EF4-FFF2-40B4-BE49-F238E27FC236}">
                <a16:creationId xmlns:a16="http://schemas.microsoft.com/office/drawing/2014/main" id="{00000000-0008-0000-0800-0000DF100300}"/>
              </a:ext>
            </a:extLst>
          </xdr:cNvPr>
          <xdr:cNvSpPr>
            <a:spLocks/>
          </xdr:cNvSpPr>
        </xdr:nvSpPr>
        <xdr:spPr bwMode="auto">
          <a:xfrm>
            <a:off x="2814" y="2649"/>
            <a:ext cx="585" cy="705"/>
          </a:xfrm>
          <a:custGeom>
            <a:avLst/>
            <a:gdLst>
              <a:gd name="T0" fmla="*/ 468 w 585"/>
              <a:gd name="T1" fmla="*/ 2 h 705"/>
              <a:gd name="T2" fmla="*/ 474 w 585"/>
              <a:gd name="T3" fmla="*/ 162 h 705"/>
              <a:gd name="T4" fmla="*/ 582 w 585"/>
              <a:gd name="T5" fmla="*/ 162 h 705"/>
              <a:gd name="T6" fmla="*/ 585 w 585"/>
              <a:gd name="T7" fmla="*/ 630 h 705"/>
              <a:gd name="T8" fmla="*/ 459 w 585"/>
              <a:gd name="T9" fmla="*/ 630 h 705"/>
              <a:gd name="T10" fmla="*/ 456 w 585"/>
              <a:gd name="T11" fmla="*/ 705 h 705"/>
              <a:gd name="T12" fmla="*/ 69 w 585"/>
              <a:gd name="T13" fmla="*/ 705 h 705"/>
              <a:gd name="T14" fmla="*/ 69 w 585"/>
              <a:gd name="T15" fmla="*/ 624 h 705"/>
              <a:gd name="T16" fmla="*/ 0 w 585"/>
              <a:gd name="T17" fmla="*/ 624 h 705"/>
              <a:gd name="T18" fmla="*/ 6 w 585"/>
              <a:gd name="T19" fmla="*/ 159 h 705"/>
              <a:gd name="T20" fmla="*/ 279 w 585"/>
              <a:gd name="T21" fmla="*/ 162 h 705"/>
              <a:gd name="T22" fmla="*/ 282 w 585"/>
              <a:gd name="T23" fmla="*/ 78 h 705"/>
              <a:gd name="T24" fmla="*/ 348 w 585"/>
              <a:gd name="T25" fmla="*/ 78 h 705"/>
              <a:gd name="T26" fmla="*/ 351 w 585"/>
              <a:gd name="T27" fmla="*/ 0 h 705"/>
              <a:gd name="T28" fmla="*/ 470 w 585"/>
              <a:gd name="T29" fmla="*/ 0 h 705"/>
              <a:gd name="T30" fmla="*/ 468 w 585"/>
              <a:gd name="T31" fmla="*/ 2 h 705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w 585"/>
              <a:gd name="T49" fmla="*/ 0 h 705"/>
              <a:gd name="T50" fmla="*/ 585 w 585"/>
              <a:gd name="T51" fmla="*/ 705 h 705"/>
            </a:gdLst>
            <a:ahLst/>
            <a:cxnLst>
              <a:cxn ang="T32">
                <a:pos x="T0" y="T1"/>
              </a:cxn>
              <a:cxn ang="T33">
                <a:pos x="T2" y="T3"/>
              </a:cxn>
              <a:cxn ang="T34">
                <a:pos x="T4" y="T5"/>
              </a:cxn>
              <a:cxn ang="T35">
                <a:pos x="T6" y="T7"/>
              </a:cxn>
              <a:cxn ang="T36">
                <a:pos x="T8" y="T9"/>
              </a:cxn>
              <a:cxn ang="T37">
                <a:pos x="T10" y="T11"/>
              </a:cxn>
              <a:cxn ang="T38">
                <a:pos x="T12" y="T13"/>
              </a:cxn>
              <a:cxn ang="T39">
                <a:pos x="T14" y="T15"/>
              </a:cxn>
              <a:cxn ang="T40">
                <a:pos x="T16" y="T17"/>
              </a:cxn>
              <a:cxn ang="T41">
                <a:pos x="T18" y="T19"/>
              </a:cxn>
              <a:cxn ang="T42">
                <a:pos x="T20" y="T21"/>
              </a:cxn>
              <a:cxn ang="T43">
                <a:pos x="T22" y="T23"/>
              </a:cxn>
              <a:cxn ang="T44">
                <a:pos x="T24" y="T25"/>
              </a:cxn>
              <a:cxn ang="T45">
                <a:pos x="T26" y="T27"/>
              </a:cxn>
              <a:cxn ang="T46">
                <a:pos x="T28" y="T29"/>
              </a:cxn>
              <a:cxn ang="T47">
                <a:pos x="T30" y="T31"/>
              </a:cxn>
            </a:cxnLst>
            <a:rect l="T48" t="T49" r="T50" b="T51"/>
            <a:pathLst>
              <a:path w="585" h="705">
                <a:moveTo>
                  <a:pt x="468" y="2"/>
                </a:moveTo>
                <a:lnTo>
                  <a:pt x="474" y="162"/>
                </a:lnTo>
                <a:lnTo>
                  <a:pt x="582" y="162"/>
                </a:lnTo>
                <a:lnTo>
                  <a:pt x="585" y="630"/>
                </a:lnTo>
                <a:lnTo>
                  <a:pt x="459" y="630"/>
                </a:lnTo>
                <a:lnTo>
                  <a:pt x="456" y="705"/>
                </a:lnTo>
                <a:lnTo>
                  <a:pt x="69" y="705"/>
                </a:lnTo>
                <a:lnTo>
                  <a:pt x="69" y="624"/>
                </a:lnTo>
                <a:lnTo>
                  <a:pt x="0" y="624"/>
                </a:lnTo>
                <a:lnTo>
                  <a:pt x="6" y="159"/>
                </a:lnTo>
                <a:lnTo>
                  <a:pt x="279" y="162"/>
                </a:lnTo>
                <a:lnTo>
                  <a:pt x="282" y="78"/>
                </a:lnTo>
                <a:lnTo>
                  <a:pt x="348" y="78"/>
                </a:lnTo>
                <a:lnTo>
                  <a:pt x="351" y="0"/>
                </a:lnTo>
                <a:lnTo>
                  <a:pt x="470" y="0"/>
                </a:lnTo>
                <a:lnTo>
                  <a:pt x="468" y="2"/>
                </a:lnTo>
                <a:close/>
              </a:path>
            </a:pathLst>
          </a:custGeom>
          <a:noFill/>
          <a:ln w="15875" cap="flat" cmpd="sng">
            <a:solidFill>
              <a:srgbClr val="CC000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0928" name="Freeform 1752">
            <a:extLst>
              <a:ext uri="{FF2B5EF4-FFF2-40B4-BE49-F238E27FC236}">
                <a16:creationId xmlns:a16="http://schemas.microsoft.com/office/drawing/2014/main" id="{00000000-0008-0000-0800-0000E0100300}"/>
              </a:ext>
            </a:extLst>
          </xdr:cNvPr>
          <xdr:cNvSpPr>
            <a:spLocks/>
          </xdr:cNvSpPr>
        </xdr:nvSpPr>
        <xdr:spPr bwMode="auto">
          <a:xfrm>
            <a:off x="1068" y="2787"/>
            <a:ext cx="1116" cy="1017"/>
          </a:xfrm>
          <a:custGeom>
            <a:avLst/>
            <a:gdLst>
              <a:gd name="T0" fmla="*/ 1116 w 1116"/>
              <a:gd name="T1" fmla="*/ 321 h 1017"/>
              <a:gd name="T2" fmla="*/ 1113 w 1116"/>
              <a:gd name="T3" fmla="*/ 609 h 1017"/>
              <a:gd name="T4" fmla="*/ 1107 w 1116"/>
              <a:gd name="T5" fmla="*/ 705 h 1017"/>
              <a:gd name="T6" fmla="*/ 1035 w 1116"/>
              <a:gd name="T7" fmla="*/ 704 h 1017"/>
              <a:gd name="T8" fmla="*/ 1037 w 1116"/>
              <a:gd name="T9" fmla="*/ 707 h 1017"/>
              <a:gd name="T10" fmla="*/ 1037 w 1116"/>
              <a:gd name="T11" fmla="*/ 860 h 1017"/>
              <a:gd name="T12" fmla="*/ 840 w 1116"/>
              <a:gd name="T13" fmla="*/ 858 h 1017"/>
              <a:gd name="T14" fmla="*/ 831 w 1116"/>
              <a:gd name="T15" fmla="*/ 1017 h 1017"/>
              <a:gd name="T16" fmla="*/ 0 w 1116"/>
              <a:gd name="T17" fmla="*/ 993 h 1017"/>
              <a:gd name="T18" fmla="*/ 21 w 1116"/>
              <a:gd name="T19" fmla="*/ 0 h 1017"/>
              <a:gd name="T20" fmla="*/ 527 w 1116"/>
              <a:gd name="T21" fmla="*/ 14 h 1017"/>
              <a:gd name="T22" fmla="*/ 782 w 1116"/>
              <a:gd name="T23" fmla="*/ 144 h 1017"/>
              <a:gd name="T24" fmla="*/ 822 w 1116"/>
              <a:gd name="T25" fmla="*/ 159 h 1017"/>
              <a:gd name="T26" fmla="*/ 822 w 1116"/>
              <a:gd name="T27" fmla="*/ 312 h 1017"/>
              <a:gd name="T28" fmla="*/ 1116 w 1116"/>
              <a:gd name="T29" fmla="*/ 321 h 1017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w 1116"/>
              <a:gd name="T46" fmla="*/ 0 h 1017"/>
              <a:gd name="T47" fmla="*/ 1116 w 1116"/>
              <a:gd name="T48" fmla="*/ 1017 h 1017"/>
            </a:gdLst>
            <a:ahLst/>
            <a:cxnLst>
              <a:cxn ang="T30">
                <a:pos x="T0" y="T1"/>
              </a:cxn>
              <a:cxn ang="T31">
                <a:pos x="T2" y="T3"/>
              </a:cxn>
              <a:cxn ang="T32">
                <a:pos x="T4" y="T5"/>
              </a:cxn>
              <a:cxn ang="T33">
                <a:pos x="T6" y="T7"/>
              </a:cxn>
              <a:cxn ang="T34">
                <a:pos x="T8" y="T9"/>
              </a:cxn>
              <a:cxn ang="T35">
                <a:pos x="T10" y="T11"/>
              </a:cxn>
              <a:cxn ang="T36">
                <a:pos x="T12" y="T13"/>
              </a:cxn>
              <a:cxn ang="T37">
                <a:pos x="T14" y="T15"/>
              </a:cxn>
              <a:cxn ang="T38">
                <a:pos x="T16" y="T17"/>
              </a:cxn>
              <a:cxn ang="T39">
                <a:pos x="T18" y="T19"/>
              </a:cxn>
              <a:cxn ang="T40">
                <a:pos x="T20" y="T21"/>
              </a:cxn>
              <a:cxn ang="T41">
                <a:pos x="T22" y="T23"/>
              </a:cxn>
              <a:cxn ang="T42">
                <a:pos x="T24" y="T25"/>
              </a:cxn>
              <a:cxn ang="T43">
                <a:pos x="T26" y="T27"/>
              </a:cxn>
              <a:cxn ang="T44">
                <a:pos x="T28" y="T29"/>
              </a:cxn>
            </a:cxnLst>
            <a:rect l="T45" t="T46" r="T47" b="T48"/>
            <a:pathLst>
              <a:path w="1116" h="1017">
                <a:moveTo>
                  <a:pt x="1116" y="321"/>
                </a:moveTo>
                <a:lnTo>
                  <a:pt x="1113" y="609"/>
                </a:lnTo>
                <a:lnTo>
                  <a:pt x="1107" y="705"/>
                </a:lnTo>
                <a:lnTo>
                  <a:pt x="1035" y="704"/>
                </a:lnTo>
                <a:lnTo>
                  <a:pt x="1037" y="707"/>
                </a:lnTo>
                <a:lnTo>
                  <a:pt x="1037" y="860"/>
                </a:lnTo>
                <a:lnTo>
                  <a:pt x="840" y="858"/>
                </a:lnTo>
                <a:lnTo>
                  <a:pt x="831" y="1017"/>
                </a:lnTo>
                <a:lnTo>
                  <a:pt x="0" y="993"/>
                </a:lnTo>
                <a:lnTo>
                  <a:pt x="21" y="0"/>
                </a:lnTo>
                <a:lnTo>
                  <a:pt x="527" y="14"/>
                </a:lnTo>
                <a:lnTo>
                  <a:pt x="782" y="144"/>
                </a:lnTo>
                <a:lnTo>
                  <a:pt x="822" y="159"/>
                </a:lnTo>
                <a:lnTo>
                  <a:pt x="822" y="312"/>
                </a:lnTo>
                <a:lnTo>
                  <a:pt x="1116" y="321"/>
                </a:lnTo>
                <a:close/>
              </a:path>
            </a:pathLst>
          </a:custGeom>
          <a:noFill/>
          <a:ln w="15875" cap="flat" cmpd="sng">
            <a:solidFill>
              <a:srgbClr val="CC000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0929" name="Freeform 1753">
            <a:extLst>
              <a:ext uri="{FF2B5EF4-FFF2-40B4-BE49-F238E27FC236}">
                <a16:creationId xmlns:a16="http://schemas.microsoft.com/office/drawing/2014/main" id="{00000000-0008-0000-0800-0000E1100300}"/>
              </a:ext>
            </a:extLst>
          </xdr:cNvPr>
          <xdr:cNvSpPr>
            <a:spLocks/>
          </xdr:cNvSpPr>
        </xdr:nvSpPr>
        <xdr:spPr bwMode="auto">
          <a:xfrm>
            <a:off x="1866" y="2399"/>
            <a:ext cx="711" cy="712"/>
          </a:xfrm>
          <a:custGeom>
            <a:avLst/>
            <a:gdLst>
              <a:gd name="T0" fmla="*/ 141 w 711"/>
              <a:gd name="T1" fmla="*/ 0 h 712"/>
              <a:gd name="T2" fmla="*/ 710 w 711"/>
              <a:gd name="T3" fmla="*/ 4 h 712"/>
              <a:gd name="T4" fmla="*/ 711 w 711"/>
              <a:gd name="T5" fmla="*/ 411 h 712"/>
              <a:gd name="T6" fmla="*/ 698 w 711"/>
              <a:gd name="T7" fmla="*/ 409 h 712"/>
              <a:gd name="T8" fmla="*/ 690 w 711"/>
              <a:gd name="T9" fmla="*/ 712 h 712"/>
              <a:gd name="T10" fmla="*/ 24 w 711"/>
              <a:gd name="T11" fmla="*/ 703 h 712"/>
              <a:gd name="T12" fmla="*/ 27 w 711"/>
              <a:gd name="T13" fmla="*/ 472 h 712"/>
              <a:gd name="T14" fmla="*/ 2 w 711"/>
              <a:gd name="T15" fmla="*/ 471 h 712"/>
              <a:gd name="T16" fmla="*/ 0 w 711"/>
              <a:gd name="T17" fmla="*/ 391 h 712"/>
              <a:gd name="T18" fmla="*/ 3 w 711"/>
              <a:gd name="T19" fmla="*/ 162 h 712"/>
              <a:gd name="T20" fmla="*/ 191 w 711"/>
              <a:gd name="T21" fmla="*/ 162 h 712"/>
              <a:gd name="T22" fmla="*/ 191 w 711"/>
              <a:gd name="T23" fmla="*/ 79 h 712"/>
              <a:gd name="T24" fmla="*/ 141 w 711"/>
              <a:gd name="T25" fmla="*/ 79 h 712"/>
              <a:gd name="T26" fmla="*/ 141 w 711"/>
              <a:gd name="T27" fmla="*/ 0 h 712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w 711"/>
              <a:gd name="T43" fmla="*/ 0 h 712"/>
              <a:gd name="T44" fmla="*/ 711 w 711"/>
              <a:gd name="T45" fmla="*/ 712 h 712"/>
            </a:gdLst>
            <a:ahLst/>
            <a:cxnLst>
              <a:cxn ang="T28">
                <a:pos x="T0" y="T1"/>
              </a:cxn>
              <a:cxn ang="T29">
                <a:pos x="T2" y="T3"/>
              </a:cxn>
              <a:cxn ang="T30">
                <a:pos x="T4" y="T5"/>
              </a:cxn>
              <a:cxn ang="T31">
                <a:pos x="T6" y="T7"/>
              </a:cxn>
              <a:cxn ang="T32">
                <a:pos x="T8" y="T9"/>
              </a:cxn>
              <a:cxn ang="T33">
                <a:pos x="T10" y="T11"/>
              </a:cxn>
              <a:cxn ang="T34">
                <a:pos x="T12" y="T13"/>
              </a:cxn>
              <a:cxn ang="T35">
                <a:pos x="T14" y="T15"/>
              </a:cxn>
              <a:cxn ang="T36">
                <a:pos x="T16" y="T17"/>
              </a:cxn>
              <a:cxn ang="T37">
                <a:pos x="T18" y="T19"/>
              </a:cxn>
              <a:cxn ang="T38">
                <a:pos x="T20" y="T21"/>
              </a:cxn>
              <a:cxn ang="T39">
                <a:pos x="T22" y="T23"/>
              </a:cxn>
              <a:cxn ang="T40">
                <a:pos x="T24" y="T25"/>
              </a:cxn>
              <a:cxn ang="T41">
                <a:pos x="T26" y="T27"/>
              </a:cxn>
            </a:cxnLst>
            <a:rect l="T42" t="T43" r="T44" b="T45"/>
            <a:pathLst>
              <a:path w="711" h="712">
                <a:moveTo>
                  <a:pt x="141" y="0"/>
                </a:moveTo>
                <a:lnTo>
                  <a:pt x="710" y="4"/>
                </a:lnTo>
                <a:lnTo>
                  <a:pt x="711" y="411"/>
                </a:lnTo>
                <a:lnTo>
                  <a:pt x="698" y="409"/>
                </a:lnTo>
                <a:lnTo>
                  <a:pt x="690" y="712"/>
                </a:lnTo>
                <a:lnTo>
                  <a:pt x="24" y="703"/>
                </a:lnTo>
                <a:lnTo>
                  <a:pt x="27" y="472"/>
                </a:lnTo>
                <a:lnTo>
                  <a:pt x="2" y="471"/>
                </a:lnTo>
                <a:lnTo>
                  <a:pt x="0" y="391"/>
                </a:lnTo>
                <a:lnTo>
                  <a:pt x="3" y="162"/>
                </a:lnTo>
                <a:lnTo>
                  <a:pt x="191" y="162"/>
                </a:lnTo>
                <a:lnTo>
                  <a:pt x="191" y="79"/>
                </a:lnTo>
                <a:lnTo>
                  <a:pt x="141" y="79"/>
                </a:lnTo>
                <a:lnTo>
                  <a:pt x="141" y="0"/>
                </a:lnTo>
                <a:close/>
              </a:path>
            </a:pathLst>
          </a:custGeom>
          <a:noFill/>
          <a:ln w="15875" cap="flat" cmpd="sng">
            <a:solidFill>
              <a:srgbClr val="CC000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0930" name="Freeform 1754">
            <a:extLst>
              <a:ext uri="{FF2B5EF4-FFF2-40B4-BE49-F238E27FC236}">
                <a16:creationId xmlns:a16="http://schemas.microsoft.com/office/drawing/2014/main" id="{00000000-0008-0000-0800-0000E2100300}"/>
              </a:ext>
            </a:extLst>
          </xdr:cNvPr>
          <xdr:cNvSpPr>
            <a:spLocks/>
          </xdr:cNvSpPr>
        </xdr:nvSpPr>
        <xdr:spPr bwMode="auto">
          <a:xfrm>
            <a:off x="2010" y="1539"/>
            <a:ext cx="318" cy="864"/>
          </a:xfrm>
          <a:custGeom>
            <a:avLst/>
            <a:gdLst>
              <a:gd name="T0" fmla="*/ 6 w 318"/>
              <a:gd name="T1" fmla="*/ 45 h 864"/>
              <a:gd name="T2" fmla="*/ 3 w 318"/>
              <a:gd name="T3" fmla="*/ 120 h 864"/>
              <a:gd name="T4" fmla="*/ 3 w 318"/>
              <a:gd name="T5" fmla="*/ 141 h 864"/>
              <a:gd name="T6" fmla="*/ 18 w 318"/>
              <a:gd name="T7" fmla="*/ 153 h 864"/>
              <a:gd name="T8" fmla="*/ 45 w 318"/>
              <a:gd name="T9" fmla="*/ 153 h 864"/>
              <a:gd name="T10" fmla="*/ 33 w 318"/>
              <a:gd name="T11" fmla="*/ 186 h 864"/>
              <a:gd name="T12" fmla="*/ 0 w 318"/>
              <a:gd name="T13" fmla="*/ 216 h 864"/>
              <a:gd name="T14" fmla="*/ 0 w 318"/>
              <a:gd name="T15" fmla="*/ 861 h 864"/>
              <a:gd name="T16" fmla="*/ 318 w 318"/>
              <a:gd name="T17" fmla="*/ 864 h 864"/>
              <a:gd name="T18" fmla="*/ 312 w 318"/>
              <a:gd name="T19" fmla="*/ 0 h 864"/>
              <a:gd name="T20" fmla="*/ 117 w 318"/>
              <a:gd name="T21" fmla="*/ 0 h 864"/>
              <a:gd name="T22" fmla="*/ 117 w 318"/>
              <a:gd name="T23" fmla="*/ 60 h 864"/>
              <a:gd name="T24" fmla="*/ 21 w 318"/>
              <a:gd name="T25" fmla="*/ 60 h 864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w 318"/>
              <a:gd name="T40" fmla="*/ 0 h 864"/>
              <a:gd name="T41" fmla="*/ 318 w 318"/>
              <a:gd name="T42" fmla="*/ 864 h 864"/>
            </a:gdLst>
            <a:ahLst/>
            <a:cxnLst>
              <a:cxn ang="T26">
                <a:pos x="T0" y="T1"/>
              </a:cxn>
              <a:cxn ang="T27">
                <a:pos x="T2" y="T3"/>
              </a:cxn>
              <a:cxn ang="T28">
                <a:pos x="T4" y="T5"/>
              </a:cxn>
              <a:cxn ang="T29">
                <a:pos x="T6" y="T7"/>
              </a:cxn>
              <a:cxn ang="T30">
                <a:pos x="T8" y="T9"/>
              </a:cxn>
              <a:cxn ang="T31">
                <a:pos x="T10" y="T11"/>
              </a:cxn>
              <a:cxn ang="T32">
                <a:pos x="T12" y="T13"/>
              </a:cxn>
              <a:cxn ang="T33">
                <a:pos x="T14" y="T15"/>
              </a:cxn>
              <a:cxn ang="T34">
                <a:pos x="T16" y="T17"/>
              </a:cxn>
              <a:cxn ang="T35">
                <a:pos x="T18" y="T19"/>
              </a:cxn>
              <a:cxn ang="T36">
                <a:pos x="T20" y="T21"/>
              </a:cxn>
              <a:cxn ang="T37">
                <a:pos x="T22" y="T23"/>
              </a:cxn>
              <a:cxn ang="T38">
                <a:pos x="T24" y="T25"/>
              </a:cxn>
            </a:cxnLst>
            <a:rect l="T39" t="T40" r="T41" b="T42"/>
            <a:pathLst>
              <a:path w="318" h="864">
                <a:moveTo>
                  <a:pt x="6" y="45"/>
                </a:moveTo>
                <a:lnTo>
                  <a:pt x="3" y="120"/>
                </a:lnTo>
                <a:lnTo>
                  <a:pt x="3" y="141"/>
                </a:lnTo>
                <a:lnTo>
                  <a:pt x="18" y="153"/>
                </a:lnTo>
                <a:lnTo>
                  <a:pt x="45" y="153"/>
                </a:lnTo>
                <a:lnTo>
                  <a:pt x="33" y="186"/>
                </a:lnTo>
                <a:lnTo>
                  <a:pt x="0" y="216"/>
                </a:lnTo>
                <a:lnTo>
                  <a:pt x="0" y="861"/>
                </a:lnTo>
                <a:lnTo>
                  <a:pt x="318" y="864"/>
                </a:lnTo>
                <a:lnTo>
                  <a:pt x="312" y="0"/>
                </a:lnTo>
                <a:lnTo>
                  <a:pt x="117" y="0"/>
                </a:lnTo>
                <a:lnTo>
                  <a:pt x="117" y="60"/>
                </a:lnTo>
                <a:lnTo>
                  <a:pt x="21" y="60"/>
                </a:lnTo>
              </a:path>
            </a:pathLst>
          </a:custGeom>
          <a:noFill/>
          <a:ln w="15875" cap="flat" cmpd="sng">
            <a:solidFill>
              <a:srgbClr val="CC000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8379" name="Text Box 1755">
            <a:extLst>
              <a:ext uri="{FF2B5EF4-FFF2-40B4-BE49-F238E27FC236}">
                <a16:creationId xmlns:a16="http://schemas.microsoft.com/office/drawing/2014/main" id="{00000000-0008-0000-0800-0000DB6E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360" y="2320"/>
            <a:ext cx="571" cy="11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12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Quay County</a:t>
            </a:r>
            <a:endParaRPr 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380" name="Text Box 1756">
            <a:extLst>
              <a:ext uri="{FF2B5EF4-FFF2-40B4-BE49-F238E27FC236}">
                <a16:creationId xmlns:a16="http://schemas.microsoft.com/office/drawing/2014/main" id="{00000000-0008-0000-0800-0000DC6E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552" y="5565"/>
            <a:ext cx="112" cy="1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endParaRPr lang="en-US" sz="7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7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00933" name="Freeform 1757">
            <a:extLst>
              <a:ext uri="{FF2B5EF4-FFF2-40B4-BE49-F238E27FC236}">
                <a16:creationId xmlns:a16="http://schemas.microsoft.com/office/drawing/2014/main" id="{00000000-0008-0000-0800-0000E5100300}"/>
              </a:ext>
            </a:extLst>
          </xdr:cNvPr>
          <xdr:cNvSpPr>
            <a:spLocks/>
          </xdr:cNvSpPr>
        </xdr:nvSpPr>
        <xdr:spPr bwMode="auto">
          <a:xfrm>
            <a:off x="885" y="3776"/>
            <a:ext cx="1029" cy="796"/>
          </a:xfrm>
          <a:custGeom>
            <a:avLst/>
            <a:gdLst>
              <a:gd name="T0" fmla="*/ 0 w 1029"/>
              <a:gd name="T1" fmla="*/ 0 h 796"/>
              <a:gd name="T2" fmla="*/ 1019 w 1029"/>
              <a:gd name="T3" fmla="*/ 24 h 796"/>
              <a:gd name="T4" fmla="*/ 1017 w 1029"/>
              <a:gd name="T5" fmla="*/ 118 h 796"/>
              <a:gd name="T6" fmla="*/ 1029 w 1029"/>
              <a:gd name="T7" fmla="*/ 120 h 796"/>
              <a:gd name="T8" fmla="*/ 1028 w 1029"/>
              <a:gd name="T9" fmla="*/ 419 h 796"/>
              <a:gd name="T10" fmla="*/ 680 w 1029"/>
              <a:gd name="T11" fmla="*/ 618 h 796"/>
              <a:gd name="T12" fmla="*/ 678 w 1029"/>
              <a:gd name="T13" fmla="*/ 656 h 796"/>
              <a:gd name="T14" fmla="*/ 426 w 1029"/>
              <a:gd name="T15" fmla="*/ 648 h 796"/>
              <a:gd name="T16" fmla="*/ 420 w 1029"/>
              <a:gd name="T17" fmla="*/ 796 h 796"/>
              <a:gd name="T18" fmla="*/ 152 w 1029"/>
              <a:gd name="T19" fmla="*/ 789 h 796"/>
              <a:gd name="T20" fmla="*/ 159 w 1029"/>
              <a:gd name="T21" fmla="*/ 723 h 796"/>
              <a:gd name="T22" fmla="*/ 159 w 1029"/>
              <a:gd name="T23" fmla="*/ 691 h 796"/>
              <a:gd name="T24" fmla="*/ 154 w 1029"/>
              <a:gd name="T25" fmla="*/ 648 h 796"/>
              <a:gd name="T26" fmla="*/ 146 w 1029"/>
              <a:gd name="T27" fmla="*/ 633 h 796"/>
              <a:gd name="T28" fmla="*/ 141 w 1029"/>
              <a:gd name="T29" fmla="*/ 616 h 796"/>
              <a:gd name="T30" fmla="*/ 138 w 1029"/>
              <a:gd name="T31" fmla="*/ 585 h 796"/>
              <a:gd name="T32" fmla="*/ 123 w 1029"/>
              <a:gd name="T33" fmla="*/ 575 h 796"/>
              <a:gd name="T34" fmla="*/ 126 w 1029"/>
              <a:gd name="T35" fmla="*/ 537 h 796"/>
              <a:gd name="T36" fmla="*/ 133 w 1029"/>
              <a:gd name="T37" fmla="*/ 515 h 796"/>
              <a:gd name="T38" fmla="*/ 123 w 1029"/>
              <a:gd name="T39" fmla="*/ 495 h 796"/>
              <a:gd name="T40" fmla="*/ 96 w 1029"/>
              <a:gd name="T41" fmla="*/ 489 h 796"/>
              <a:gd name="T42" fmla="*/ 78 w 1029"/>
              <a:gd name="T43" fmla="*/ 469 h 796"/>
              <a:gd name="T44" fmla="*/ 91 w 1029"/>
              <a:gd name="T45" fmla="*/ 452 h 796"/>
              <a:gd name="T46" fmla="*/ 88 w 1029"/>
              <a:gd name="T47" fmla="*/ 409 h 796"/>
              <a:gd name="T48" fmla="*/ 78 w 1029"/>
              <a:gd name="T49" fmla="*/ 389 h 796"/>
              <a:gd name="T50" fmla="*/ 98 w 1029"/>
              <a:gd name="T51" fmla="*/ 368 h 796"/>
              <a:gd name="T52" fmla="*/ 98 w 1029"/>
              <a:gd name="T53" fmla="*/ 356 h 796"/>
              <a:gd name="T54" fmla="*/ 93 w 1029"/>
              <a:gd name="T55" fmla="*/ 338 h 796"/>
              <a:gd name="T56" fmla="*/ 83 w 1029"/>
              <a:gd name="T57" fmla="*/ 326 h 796"/>
              <a:gd name="T58" fmla="*/ 83 w 1029"/>
              <a:gd name="T59" fmla="*/ 308 h 796"/>
              <a:gd name="T60" fmla="*/ 86 w 1029"/>
              <a:gd name="T61" fmla="*/ 288 h 796"/>
              <a:gd name="T62" fmla="*/ 91 w 1029"/>
              <a:gd name="T63" fmla="*/ 270 h 796"/>
              <a:gd name="T64" fmla="*/ 78 w 1029"/>
              <a:gd name="T65" fmla="*/ 260 h 796"/>
              <a:gd name="T66" fmla="*/ 63 w 1029"/>
              <a:gd name="T67" fmla="*/ 245 h 796"/>
              <a:gd name="T68" fmla="*/ 17 w 1029"/>
              <a:gd name="T69" fmla="*/ 245 h 796"/>
              <a:gd name="T70" fmla="*/ 2 w 1029"/>
              <a:gd name="T71" fmla="*/ 240 h 796"/>
              <a:gd name="T72" fmla="*/ 5 w 1029"/>
              <a:gd name="T73" fmla="*/ 96 h 796"/>
              <a:gd name="T74" fmla="*/ 0 w 1029"/>
              <a:gd name="T75" fmla="*/ 0 h 79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w 1029"/>
              <a:gd name="T115" fmla="*/ 0 h 796"/>
              <a:gd name="T116" fmla="*/ 1029 w 1029"/>
              <a:gd name="T117" fmla="*/ 796 h 796"/>
            </a:gdLst>
            <a:ahLst/>
            <a:cxnLst>
              <a:cxn ang="T76">
                <a:pos x="T0" y="T1"/>
              </a:cxn>
              <a:cxn ang="T77">
                <a:pos x="T2" y="T3"/>
              </a:cxn>
              <a:cxn ang="T78">
                <a:pos x="T4" y="T5"/>
              </a:cxn>
              <a:cxn ang="T79">
                <a:pos x="T6" y="T7"/>
              </a:cxn>
              <a:cxn ang="T80">
                <a:pos x="T8" y="T9"/>
              </a:cxn>
              <a:cxn ang="T81">
                <a:pos x="T10" y="T11"/>
              </a:cxn>
              <a:cxn ang="T82">
                <a:pos x="T12" y="T13"/>
              </a:cxn>
              <a:cxn ang="T83">
                <a:pos x="T14" y="T15"/>
              </a:cxn>
              <a:cxn ang="T84">
                <a:pos x="T16" y="T17"/>
              </a:cxn>
              <a:cxn ang="T85">
                <a:pos x="T18" y="T19"/>
              </a:cxn>
              <a:cxn ang="T86">
                <a:pos x="T20" y="T21"/>
              </a:cxn>
              <a:cxn ang="T87">
                <a:pos x="T22" y="T23"/>
              </a:cxn>
              <a:cxn ang="T88">
                <a:pos x="T24" y="T25"/>
              </a:cxn>
              <a:cxn ang="T89">
                <a:pos x="T26" y="T27"/>
              </a:cxn>
              <a:cxn ang="T90">
                <a:pos x="T28" y="T29"/>
              </a:cxn>
              <a:cxn ang="T91">
                <a:pos x="T30" y="T31"/>
              </a:cxn>
              <a:cxn ang="T92">
                <a:pos x="T32" y="T33"/>
              </a:cxn>
              <a:cxn ang="T93">
                <a:pos x="T34" y="T35"/>
              </a:cxn>
              <a:cxn ang="T94">
                <a:pos x="T36" y="T37"/>
              </a:cxn>
              <a:cxn ang="T95">
                <a:pos x="T38" y="T39"/>
              </a:cxn>
              <a:cxn ang="T96">
                <a:pos x="T40" y="T41"/>
              </a:cxn>
              <a:cxn ang="T97">
                <a:pos x="T42" y="T43"/>
              </a:cxn>
              <a:cxn ang="T98">
                <a:pos x="T44" y="T45"/>
              </a:cxn>
              <a:cxn ang="T99">
                <a:pos x="T46" y="T47"/>
              </a:cxn>
              <a:cxn ang="T100">
                <a:pos x="T48" y="T49"/>
              </a:cxn>
              <a:cxn ang="T101">
                <a:pos x="T50" y="T51"/>
              </a:cxn>
              <a:cxn ang="T102">
                <a:pos x="T52" y="T53"/>
              </a:cxn>
              <a:cxn ang="T103">
                <a:pos x="T54" y="T55"/>
              </a:cxn>
              <a:cxn ang="T104">
                <a:pos x="T56" y="T57"/>
              </a:cxn>
              <a:cxn ang="T105">
                <a:pos x="T58" y="T59"/>
              </a:cxn>
              <a:cxn ang="T106">
                <a:pos x="T60" y="T61"/>
              </a:cxn>
              <a:cxn ang="T107">
                <a:pos x="T62" y="T63"/>
              </a:cxn>
              <a:cxn ang="T108">
                <a:pos x="T64" y="T65"/>
              </a:cxn>
              <a:cxn ang="T109">
                <a:pos x="T66" y="T67"/>
              </a:cxn>
              <a:cxn ang="T110">
                <a:pos x="T68" y="T69"/>
              </a:cxn>
              <a:cxn ang="T111">
                <a:pos x="T70" y="T71"/>
              </a:cxn>
              <a:cxn ang="T112">
                <a:pos x="T72" y="T73"/>
              </a:cxn>
              <a:cxn ang="T113">
                <a:pos x="T74" y="T75"/>
              </a:cxn>
            </a:cxnLst>
            <a:rect l="T114" t="T115" r="T116" b="T117"/>
            <a:pathLst>
              <a:path w="1029" h="796">
                <a:moveTo>
                  <a:pt x="0" y="0"/>
                </a:moveTo>
                <a:lnTo>
                  <a:pt x="1019" y="24"/>
                </a:lnTo>
                <a:lnTo>
                  <a:pt x="1017" y="118"/>
                </a:lnTo>
                <a:lnTo>
                  <a:pt x="1029" y="120"/>
                </a:lnTo>
                <a:cubicBezTo>
                  <a:pt x="1027" y="270"/>
                  <a:pt x="1028" y="419"/>
                  <a:pt x="1028" y="419"/>
                </a:cubicBezTo>
                <a:lnTo>
                  <a:pt x="680" y="618"/>
                </a:lnTo>
                <a:lnTo>
                  <a:pt x="678" y="656"/>
                </a:lnTo>
                <a:lnTo>
                  <a:pt x="426" y="648"/>
                </a:lnTo>
                <a:lnTo>
                  <a:pt x="420" y="796"/>
                </a:lnTo>
                <a:lnTo>
                  <a:pt x="152" y="789"/>
                </a:lnTo>
                <a:lnTo>
                  <a:pt x="159" y="723"/>
                </a:lnTo>
                <a:lnTo>
                  <a:pt x="159" y="691"/>
                </a:lnTo>
                <a:lnTo>
                  <a:pt x="154" y="648"/>
                </a:lnTo>
                <a:lnTo>
                  <a:pt x="146" y="633"/>
                </a:lnTo>
                <a:lnTo>
                  <a:pt x="141" y="616"/>
                </a:lnTo>
                <a:lnTo>
                  <a:pt x="138" y="585"/>
                </a:lnTo>
                <a:lnTo>
                  <a:pt x="123" y="575"/>
                </a:lnTo>
                <a:lnTo>
                  <a:pt x="126" y="537"/>
                </a:lnTo>
                <a:lnTo>
                  <a:pt x="133" y="515"/>
                </a:lnTo>
                <a:lnTo>
                  <a:pt x="123" y="495"/>
                </a:lnTo>
                <a:lnTo>
                  <a:pt x="96" y="489"/>
                </a:lnTo>
                <a:lnTo>
                  <a:pt x="78" y="469"/>
                </a:lnTo>
                <a:lnTo>
                  <a:pt x="91" y="452"/>
                </a:lnTo>
                <a:lnTo>
                  <a:pt x="88" y="409"/>
                </a:lnTo>
                <a:lnTo>
                  <a:pt x="78" y="389"/>
                </a:lnTo>
                <a:lnTo>
                  <a:pt x="98" y="368"/>
                </a:lnTo>
                <a:cubicBezTo>
                  <a:pt x="98" y="364"/>
                  <a:pt x="98" y="360"/>
                  <a:pt x="98" y="356"/>
                </a:cubicBezTo>
                <a:lnTo>
                  <a:pt x="93" y="338"/>
                </a:lnTo>
                <a:lnTo>
                  <a:pt x="83" y="326"/>
                </a:lnTo>
                <a:lnTo>
                  <a:pt x="83" y="308"/>
                </a:lnTo>
                <a:lnTo>
                  <a:pt x="86" y="288"/>
                </a:lnTo>
                <a:lnTo>
                  <a:pt x="91" y="270"/>
                </a:lnTo>
                <a:lnTo>
                  <a:pt x="78" y="260"/>
                </a:lnTo>
                <a:lnTo>
                  <a:pt x="63" y="245"/>
                </a:lnTo>
                <a:lnTo>
                  <a:pt x="17" y="245"/>
                </a:lnTo>
                <a:cubicBezTo>
                  <a:pt x="12" y="243"/>
                  <a:pt x="2" y="240"/>
                  <a:pt x="2" y="240"/>
                </a:cubicBezTo>
                <a:lnTo>
                  <a:pt x="5" y="96"/>
                </a:lnTo>
                <a:lnTo>
                  <a:pt x="0" y="0"/>
                </a:lnTo>
                <a:close/>
              </a:path>
            </a:pathLst>
          </a:custGeom>
          <a:noFill/>
          <a:ln w="15875" cap="flat" cmpd="sng">
            <a:solidFill>
              <a:srgbClr val="CC000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0934" name="Freeform 1758">
            <a:extLst>
              <a:ext uri="{FF2B5EF4-FFF2-40B4-BE49-F238E27FC236}">
                <a16:creationId xmlns:a16="http://schemas.microsoft.com/office/drawing/2014/main" id="{00000000-0008-0000-0800-0000E6100300}"/>
              </a:ext>
            </a:extLst>
          </xdr:cNvPr>
          <xdr:cNvSpPr>
            <a:spLocks/>
          </xdr:cNvSpPr>
        </xdr:nvSpPr>
        <xdr:spPr bwMode="auto">
          <a:xfrm>
            <a:off x="720" y="4560"/>
            <a:ext cx="583" cy="774"/>
          </a:xfrm>
          <a:custGeom>
            <a:avLst/>
            <a:gdLst>
              <a:gd name="T0" fmla="*/ 583 w 583"/>
              <a:gd name="T1" fmla="*/ 9 h 774"/>
              <a:gd name="T2" fmla="*/ 575 w 583"/>
              <a:gd name="T3" fmla="*/ 414 h 774"/>
              <a:gd name="T4" fmla="*/ 567 w 583"/>
              <a:gd name="T5" fmla="*/ 774 h 774"/>
              <a:gd name="T6" fmla="*/ 3 w 583"/>
              <a:gd name="T7" fmla="*/ 768 h 774"/>
              <a:gd name="T8" fmla="*/ 0 w 583"/>
              <a:gd name="T9" fmla="*/ 76 h 774"/>
              <a:gd name="T10" fmla="*/ 196 w 583"/>
              <a:gd name="T11" fmla="*/ 79 h 774"/>
              <a:gd name="T12" fmla="*/ 194 w 583"/>
              <a:gd name="T13" fmla="*/ 0 h 774"/>
              <a:gd name="T14" fmla="*/ 583 w 583"/>
              <a:gd name="T15" fmla="*/ 9 h 774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w 583"/>
              <a:gd name="T25" fmla="*/ 0 h 774"/>
              <a:gd name="T26" fmla="*/ 583 w 583"/>
              <a:gd name="T27" fmla="*/ 774 h 774"/>
            </a:gdLst>
            <a:ahLst/>
            <a:cxnLst>
              <a:cxn ang="T16">
                <a:pos x="T0" y="T1"/>
              </a:cxn>
              <a:cxn ang="T17">
                <a:pos x="T2" y="T3"/>
              </a:cxn>
              <a:cxn ang="T18">
                <a:pos x="T4" y="T5"/>
              </a:cxn>
              <a:cxn ang="T19">
                <a:pos x="T6" y="T7"/>
              </a:cxn>
              <a:cxn ang="T20">
                <a:pos x="T8" y="T9"/>
              </a:cxn>
              <a:cxn ang="T21">
                <a:pos x="T10" y="T11"/>
              </a:cxn>
              <a:cxn ang="T22">
                <a:pos x="T12" y="T13"/>
              </a:cxn>
              <a:cxn ang="T23">
                <a:pos x="T14" y="T15"/>
              </a:cxn>
            </a:cxnLst>
            <a:rect l="T24" t="T25" r="T26" b="T27"/>
            <a:pathLst>
              <a:path w="583" h="774">
                <a:moveTo>
                  <a:pt x="583" y="9"/>
                </a:moveTo>
                <a:lnTo>
                  <a:pt x="575" y="414"/>
                </a:lnTo>
                <a:lnTo>
                  <a:pt x="567" y="774"/>
                </a:lnTo>
                <a:lnTo>
                  <a:pt x="3" y="768"/>
                </a:lnTo>
                <a:lnTo>
                  <a:pt x="0" y="76"/>
                </a:lnTo>
                <a:lnTo>
                  <a:pt x="196" y="79"/>
                </a:lnTo>
                <a:lnTo>
                  <a:pt x="194" y="0"/>
                </a:lnTo>
                <a:lnTo>
                  <a:pt x="583" y="9"/>
                </a:lnTo>
                <a:close/>
              </a:path>
            </a:pathLst>
          </a:custGeom>
          <a:noFill/>
          <a:ln w="9525" cap="flat" cmpd="sng">
            <a:solidFill>
              <a:srgbClr val="CC000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0935" name="Line 1759">
            <a:extLst>
              <a:ext uri="{FF2B5EF4-FFF2-40B4-BE49-F238E27FC236}">
                <a16:creationId xmlns:a16="http://schemas.microsoft.com/office/drawing/2014/main" id="{00000000-0008-0000-0800-0000E7100300}"/>
              </a:ext>
            </a:extLst>
          </xdr:cNvPr>
          <xdr:cNvSpPr>
            <a:spLocks noChangeShapeType="1"/>
          </xdr:cNvSpPr>
        </xdr:nvSpPr>
        <xdr:spPr bwMode="auto">
          <a:xfrm>
            <a:off x="1920" y="4224"/>
            <a:ext cx="1" cy="48"/>
          </a:xfrm>
          <a:prstGeom prst="line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200936" name="Freeform 1760">
            <a:extLst>
              <a:ext uri="{FF2B5EF4-FFF2-40B4-BE49-F238E27FC236}">
                <a16:creationId xmlns:a16="http://schemas.microsoft.com/office/drawing/2014/main" id="{00000000-0008-0000-0800-0000E8100300}"/>
              </a:ext>
            </a:extLst>
          </xdr:cNvPr>
          <xdr:cNvSpPr>
            <a:spLocks/>
          </xdr:cNvSpPr>
        </xdr:nvSpPr>
        <xdr:spPr bwMode="auto">
          <a:xfrm>
            <a:off x="1289" y="4202"/>
            <a:ext cx="619" cy="1142"/>
          </a:xfrm>
          <a:custGeom>
            <a:avLst/>
            <a:gdLst>
              <a:gd name="T0" fmla="*/ 619 w 619"/>
              <a:gd name="T1" fmla="*/ 0 h 1142"/>
              <a:gd name="T2" fmla="*/ 619 w 619"/>
              <a:gd name="T3" fmla="*/ 76 h 1142"/>
              <a:gd name="T4" fmla="*/ 604 w 619"/>
              <a:gd name="T5" fmla="*/ 79 h 1142"/>
              <a:gd name="T6" fmla="*/ 598 w 619"/>
              <a:gd name="T7" fmla="*/ 276 h 1142"/>
              <a:gd name="T8" fmla="*/ 592 w 619"/>
              <a:gd name="T9" fmla="*/ 658 h 1142"/>
              <a:gd name="T10" fmla="*/ 587 w 619"/>
              <a:gd name="T11" fmla="*/ 951 h 1142"/>
              <a:gd name="T12" fmla="*/ 516 w 619"/>
              <a:gd name="T13" fmla="*/ 946 h 1142"/>
              <a:gd name="T14" fmla="*/ 491 w 619"/>
              <a:gd name="T15" fmla="*/ 951 h 1142"/>
              <a:gd name="T16" fmla="*/ 453 w 619"/>
              <a:gd name="T17" fmla="*/ 954 h 1142"/>
              <a:gd name="T18" fmla="*/ 425 w 619"/>
              <a:gd name="T19" fmla="*/ 969 h 1142"/>
              <a:gd name="T20" fmla="*/ 438 w 619"/>
              <a:gd name="T21" fmla="*/ 991 h 1142"/>
              <a:gd name="T22" fmla="*/ 433 w 619"/>
              <a:gd name="T23" fmla="*/ 1009 h 1142"/>
              <a:gd name="T24" fmla="*/ 418 w 619"/>
              <a:gd name="T25" fmla="*/ 1041 h 1142"/>
              <a:gd name="T26" fmla="*/ 428 w 619"/>
              <a:gd name="T27" fmla="*/ 1074 h 1142"/>
              <a:gd name="T28" fmla="*/ 445 w 619"/>
              <a:gd name="T29" fmla="*/ 1097 h 1142"/>
              <a:gd name="T30" fmla="*/ 468 w 619"/>
              <a:gd name="T31" fmla="*/ 1120 h 1142"/>
              <a:gd name="T32" fmla="*/ 483 w 619"/>
              <a:gd name="T33" fmla="*/ 1142 h 1142"/>
              <a:gd name="T34" fmla="*/ 0 w 619"/>
              <a:gd name="T35" fmla="*/ 1135 h 1142"/>
              <a:gd name="T36" fmla="*/ 18 w 619"/>
              <a:gd name="T37" fmla="*/ 376 h 1142"/>
              <a:gd name="T38" fmla="*/ 24 w 619"/>
              <a:gd name="T39" fmla="*/ 225 h 1142"/>
              <a:gd name="T40" fmla="*/ 279 w 619"/>
              <a:gd name="T41" fmla="*/ 230 h 1142"/>
              <a:gd name="T42" fmla="*/ 279 w 619"/>
              <a:gd name="T43" fmla="*/ 188 h 1142"/>
              <a:gd name="T44" fmla="*/ 619 w 619"/>
              <a:gd name="T45" fmla="*/ 0 h 1142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w 619"/>
              <a:gd name="T70" fmla="*/ 0 h 1142"/>
              <a:gd name="T71" fmla="*/ 619 w 619"/>
              <a:gd name="T72" fmla="*/ 1142 h 1142"/>
            </a:gdLst>
            <a:ahLst/>
            <a:cxnLst>
              <a:cxn ang="T46">
                <a:pos x="T0" y="T1"/>
              </a:cxn>
              <a:cxn ang="T47">
                <a:pos x="T2" y="T3"/>
              </a:cxn>
              <a:cxn ang="T48">
                <a:pos x="T4" y="T5"/>
              </a:cxn>
              <a:cxn ang="T49">
                <a:pos x="T6" y="T7"/>
              </a:cxn>
              <a:cxn ang="T50">
                <a:pos x="T8" y="T9"/>
              </a:cxn>
              <a:cxn ang="T51">
                <a:pos x="T10" y="T11"/>
              </a:cxn>
              <a:cxn ang="T52">
                <a:pos x="T12" y="T13"/>
              </a:cxn>
              <a:cxn ang="T53">
                <a:pos x="T14" y="T15"/>
              </a:cxn>
              <a:cxn ang="T54">
                <a:pos x="T16" y="T17"/>
              </a:cxn>
              <a:cxn ang="T55">
                <a:pos x="T18" y="T19"/>
              </a:cxn>
              <a:cxn ang="T56">
                <a:pos x="T20" y="T21"/>
              </a:cxn>
              <a:cxn ang="T57">
                <a:pos x="T22" y="T23"/>
              </a:cxn>
              <a:cxn ang="T58">
                <a:pos x="T24" y="T25"/>
              </a:cxn>
              <a:cxn ang="T59">
                <a:pos x="T26" y="T27"/>
              </a:cxn>
              <a:cxn ang="T60">
                <a:pos x="T28" y="T29"/>
              </a:cxn>
              <a:cxn ang="T61">
                <a:pos x="T30" y="T31"/>
              </a:cxn>
              <a:cxn ang="T62">
                <a:pos x="T32" y="T33"/>
              </a:cxn>
              <a:cxn ang="T63">
                <a:pos x="T34" y="T35"/>
              </a:cxn>
              <a:cxn ang="T64">
                <a:pos x="T36" y="T37"/>
              </a:cxn>
              <a:cxn ang="T65">
                <a:pos x="T38" y="T39"/>
              </a:cxn>
              <a:cxn ang="T66">
                <a:pos x="T40" y="T41"/>
              </a:cxn>
              <a:cxn ang="T67">
                <a:pos x="T42" y="T43"/>
              </a:cxn>
              <a:cxn ang="T68">
                <a:pos x="T44" y="T45"/>
              </a:cxn>
            </a:cxnLst>
            <a:rect l="T69" t="T70" r="T71" b="T72"/>
            <a:pathLst>
              <a:path w="619" h="1142">
                <a:moveTo>
                  <a:pt x="619" y="0"/>
                </a:moveTo>
                <a:lnTo>
                  <a:pt x="619" y="76"/>
                </a:lnTo>
                <a:lnTo>
                  <a:pt x="604" y="79"/>
                </a:lnTo>
                <a:lnTo>
                  <a:pt x="598" y="276"/>
                </a:lnTo>
                <a:lnTo>
                  <a:pt x="592" y="658"/>
                </a:lnTo>
                <a:cubicBezTo>
                  <a:pt x="589" y="756"/>
                  <a:pt x="587" y="951"/>
                  <a:pt x="587" y="951"/>
                </a:cubicBezTo>
                <a:lnTo>
                  <a:pt x="516" y="946"/>
                </a:lnTo>
                <a:lnTo>
                  <a:pt x="491" y="951"/>
                </a:lnTo>
                <a:lnTo>
                  <a:pt x="453" y="954"/>
                </a:lnTo>
                <a:lnTo>
                  <a:pt x="425" y="969"/>
                </a:lnTo>
                <a:lnTo>
                  <a:pt x="438" y="991"/>
                </a:lnTo>
                <a:lnTo>
                  <a:pt x="433" y="1009"/>
                </a:lnTo>
                <a:lnTo>
                  <a:pt x="418" y="1041"/>
                </a:lnTo>
                <a:lnTo>
                  <a:pt x="428" y="1074"/>
                </a:lnTo>
                <a:lnTo>
                  <a:pt x="445" y="1097"/>
                </a:lnTo>
                <a:lnTo>
                  <a:pt x="468" y="1120"/>
                </a:lnTo>
                <a:lnTo>
                  <a:pt x="483" y="1142"/>
                </a:lnTo>
                <a:lnTo>
                  <a:pt x="0" y="1135"/>
                </a:lnTo>
                <a:cubicBezTo>
                  <a:pt x="13" y="388"/>
                  <a:pt x="14" y="526"/>
                  <a:pt x="18" y="376"/>
                </a:cubicBezTo>
                <a:lnTo>
                  <a:pt x="24" y="225"/>
                </a:lnTo>
                <a:lnTo>
                  <a:pt x="279" y="230"/>
                </a:lnTo>
                <a:lnTo>
                  <a:pt x="279" y="188"/>
                </a:lnTo>
                <a:lnTo>
                  <a:pt x="619" y="0"/>
                </a:lnTo>
                <a:close/>
              </a:path>
            </a:pathLst>
          </a:custGeom>
          <a:noFill/>
          <a:ln w="15875" cap="flat" cmpd="sng">
            <a:solidFill>
              <a:srgbClr val="CC000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0937" name="Line 1761">
            <a:extLst>
              <a:ext uri="{FF2B5EF4-FFF2-40B4-BE49-F238E27FC236}">
                <a16:creationId xmlns:a16="http://schemas.microsoft.com/office/drawing/2014/main" id="{00000000-0008-0000-0800-0000E9100300}"/>
              </a:ext>
            </a:extLst>
          </xdr:cNvPr>
          <xdr:cNvSpPr>
            <a:spLocks noChangeShapeType="1"/>
          </xdr:cNvSpPr>
        </xdr:nvSpPr>
        <xdr:spPr bwMode="auto">
          <a:xfrm>
            <a:off x="237" y="3988"/>
            <a:ext cx="0" cy="0"/>
          </a:xfrm>
          <a:prstGeom prst="line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200938" name="Freeform 1762">
            <a:extLst>
              <a:ext uri="{FF2B5EF4-FFF2-40B4-BE49-F238E27FC236}">
                <a16:creationId xmlns:a16="http://schemas.microsoft.com/office/drawing/2014/main" id="{00000000-0008-0000-0800-0000EA100300}"/>
              </a:ext>
            </a:extLst>
          </xdr:cNvPr>
          <xdr:cNvSpPr>
            <a:spLocks/>
          </xdr:cNvSpPr>
        </xdr:nvSpPr>
        <xdr:spPr bwMode="auto">
          <a:xfrm>
            <a:off x="219" y="3999"/>
            <a:ext cx="825" cy="1230"/>
          </a:xfrm>
          <a:custGeom>
            <a:avLst/>
            <a:gdLst>
              <a:gd name="T0" fmla="*/ 23 w 825"/>
              <a:gd name="T1" fmla="*/ 0 h 1230"/>
              <a:gd name="T2" fmla="*/ 666 w 825"/>
              <a:gd name="T3" fmla="*/ 18 h 1230"/>
              <a:gd name="T4" fmla="*/ 729 w 825"/>
              <a:gd name="T5" fmla="*/ 24 h 1230"/>
              <a:gd name="T6" fmla="*/ 754 w 825"/>
              <a:gd name="T7" fmla="*/ 45 h 1230"/>
              <a:gd name="T8" fmla="*/ 747 w 825"/>
              <a:gd name="T9" fmla="*/ 82 h 1230"/>
              <a:gd name="T10" fmla="*/ 757 w 825"/>
              <a:gd name="T11" fmla="*/ 118 h 1230"/>
              <a:gd name="T12" fmla="*/ 762 w 825"/>
              <a:gd name="T13" fmla="*/ 143 h 1230"/>
              <a:gd name="T14" fmla="*/ 747 w 825"/>
              <a:gd name="T15" fmla="*/ 158 h 1230"/>
              <a:gd name="T16" fmla="*/ 749 w 825"/>
              <a:gd name="T17" fmla="*/ 181 h 1230"/>
              <a:gd name="T18" fmla="*/ 757 w 825"/>
              <a:gd name="T19" fmla="*/ 231 h 1230"/>
              <a:gd name="T20" fmla="*/ 744 w 825"/>
              <a:gd name="T21" fmla="*/ 246 h 1230"/>
              <a:gd name="T22" fmla="*/ 762 w 825"/>
              <a:gd name="T23" fmla="*/ 266 h 1230"/>
              <a:gd name="T24" fmla="*/ 784 w 825"/>
              <a:gd name="T25" fmla="*/ 266 h 1230"/>
              <a:gd name="T26" fmla="*/ 797 w 825"/>
              <a:gd name="T27" fmla="*/ 289 h 1230"/>
              <a:gd name="T28" fmla="*/ 794 w 825"/>
              <a:gd name="T29" fmla="*/ 319 h 1230"/>
              <a:gd name="T30" fmla="*/ 794 w 825"/>
              <a:gd name="T31" fmla="*/ 355 h 1230"/>
              <a:gd name="T32" fmla="*/ 807 w 825"/>
              <a:gd name="T33" fmla="*/ 367 h 1230"/>
              <a:gd name="T34" fmla="*/ 804 w 825"/>
              <a:gd name="T35" fmla="*/ 390 h 1230"/>
              <a:gd name="T36" fmla="*/ 817 w 825"/>
              <a:gd name="T37" fmla="*/ 408 h 1230"/>
              <a:gd name="T38" fmla="*/ 825 w 825"/>
              <a:gd name="T39" fmla="*/ 486 h 1230"/>
              <a:gd name="T40" fmla="*/ 816 w 825"/>
              <a:gd name="T41" fmla="*/ 569 h 1230"/>
              <a:gd name="T42" fmla="*/ 694 w 825"/>
              <a:gd name="T43" fmla="*/ 569 h 1230"/>
              <a:gd name="T44" fmla="*/ 693 w 825"/>
              <a:gd name="T45" fmla="*/ 645 h 1230"/>
              <a:gd name="T46" fmla="*/ 507 w 825"/>
              <a:gd name="T47" fmla="*/ 642 h 1230"/>
              <a:gd name="T48" fmla="*/ 495 w 825"/>
              <a:gd name="T49" fmla="*/ 1230 h 1230"/>
              <a:gd name="T50" fmla="*/ 306 w 825"/>
              <a:gd name="T51" fmla="*/ 1227 h 1230"/>
              <a:gd name="T52" fmla="*/ 314 w 825"/>
              <a:gd name="T53" fmla="*/ 630 h 1230"/>
              <a:gd name="T54" fmla="*/ 237 w 825"/>
              <a:gd name="T55" fmla="*/ 630 h 1230"/>
              <a:gd name="T56" fmla="*/ 242 w 825"/>
              <a:gd name="T57" fmla="*/ 548 h 1230"/>
              <a:gd name="T58" fmla="*/ 119 w 825"/>
              <a:gd name="T59" fmla="*/ 546 h 1230"/>
              <a:gd name="T60" fmla="*/ 116 w 825"/>
              <a:gd name="T61" fmla="*/ 471 h 1230"/>
              <a:gd name="T62" fmla="*/ 119 w 825"/>
              <a:gd name="T63" fmla="*/ 384 h 1230"/>
              <a:gd name="T64" fmla="*/ 0 w 825"/>
              <a:gd name="T65" fmla="*/ 382 h 1230"/>
              <a:gd name="T66" fmla="*/ 23 w 825"/>
              <a:gd name="T67" fmla="*/ 0 h 1230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w 825"/>
              <a:gd name="T103" fmla="*/ 0 h 1230"/>
              <a:gd name="T104" fmla="*/ 825 w 825"/>
              <a:gd name="T105" fmla="*/ 1230 h 1230"/>
            </a:gdLst>
            <a:ahLst/>
            <a:cxnLst>
              <a:cxn ang="T68">
                <a:pos x="T0" y="T1"/>
              </a:cxn>
              <a:cxn ang="T69">
                <a:pos x="T2" y="T3"/>
              </a:cxn>
              <a:cxn ang="T70">
                <a:pos x="T4" y="T5"/>
              </a:cxn>
              <a:cxn ang="T71">
                <a:pos x="T6" y="T7"/>
              </a:cxn>
              <a:cxn ang="T72">
                <a:pos x="T8" y="T9"/>
              </a:cxn>
              <a:cxn ang="T73">
                <a:pos x="T10" y="T11"/>
              </a:cxn>
              <a:cxn ang="T74">
                <a:pos x="T12" y="T13"/>
              </a:cxn>
              <a:cxn ang="T75">
                <a:pos x="T14" y="T15"/>
              </a:cxn>
              <a:cxn ang="T76">
                <a:pos x="T16" y="T17"/>
              </a:cxn>
              <a:cxn ang="T77">
                <a:pos x="T18" y="T19"/>
              </a:cxn>
              <a:cxn ang="T78">
                <a:pos x="T20" y="T21"/>
              </a:cxn>
              <a:cxn ang="T79">
                <a:pos x="T22" y="T23"/>
              </a:cxn>
              <a:cxn ang="T80">
                <a:pos x="T24" y="T25"/>
              </a:cxn>
              <a:cxn ang="T81">
                <a:pos x="T26" y="T27"/>
              </a:cxn>
              <a:cxn ang="T82">
                <a:pos x="T28" y="T29"/>
              </a:cxn>
              <a:cxn ang="T83">
                <a:pos x="T30" y="T31"/>
              </a:cxn>
              <a:cxn ang="T84">
                <a:pos x="T32" y="T33"/>
              </a:cxn>
              <a:cxn ang="T85">
                <a:pos x="T34" y="T35"/>
              </a:cxn>
              <a:cxn ang="T86">
                <a:pos x="T36" y="T37"/>
              </a:cxn>
              <a:cxn ang="T87">
                <a:pos x="T38" y="T39"/>
              </a:cxn>
              <a:cxn ang="T88">
                <a:pos x="T40" y="T41"/>
              </a:cxn>
              <a:cxn ang="T89">
                <a:pos x="T42" y="T43"/>
              </a:cxn>
              <a:cxn ang="T90">
                <a:pos x="T44" y="T45"/>
              </a:cxn>
              <a:cxn ang="T91">
                <a:pos x="T46" y="T47"/>
              </a:cxn>
              <a:cxn ang="T92">
                <a:pos x="T48" y="T49"/>
              </a:cxn>
              <a:cxn ang="T93">
                <a:pos x="T50" y="T51"/>
              </a:cxn>
              <a:cxn ang="T94">
                <a:pos x="T52" y="T53"/>
              </a:cxn>
              <a:cxn ang="T95">
                <a:pos x="T54" y="T55"/>
              </a:cxn>
              <a:cxn ang="T96">
                <a:pos x="T56" y="T57"/>
              </a:cxn>
              <a:cxn ang="T97">
                <a:pos x="T58" y="T59"/>
              </a:cxn>
              <a:cxn ang="T98">
                <a:pos x="T60" y="T61"/>
              </a:cxn>
              <a:cxn ang="T99">
                <a:pos x="T62" y="T63"/>
              </a:cxn>
              <a:cxn ang="T100">
                <a:pos x="T64" y="T65"/>
              </a:cxn>
              <a:cxn ang="T101">
                <a:pos x="T66" y="T67"/>
              </a:cxn>
            </a:cxnLst>
            <a:rect l="T102" t="T103" r="T104" b="T105"/>
            <a:pathLst>
              <a:path w="825" h="1230">
                <a:moveTo>
                  <a:pt x="23" y="0"/>
                </a:moveTo>
                <a:lnTo>
                  <a:pt x="666" y="18"/>
                </a:lnTo>
                <a:lnTo>
                  <a:pt x="729" y="24"/>
                </a:lnTo>
                <a:lnTo>
                  <a:pt x="754" y="45"/>
                </a:lnTo>
                <a:lnTo>
                  <a:pt x="747" y="82"/>
                </a:lnTo>
                <a:lnTo>
                  <a:pt x="757" y="118"/>
                </a:lnTo>
                <a:lnTo>
                  <a:pt x="762" y="143"/>
                </a:lnTo>
                <a:lnTo>
                  <a:pt x="747" y="158"/>
                </a:lnTo>
                <a:lnTo>
                  <a:pt x="749" y="181"/>
                </a:lnTo>
                <a:lnTo>
                  <a:pt x="757" y="231"/>
                </a:lnTo>
                <a:lnTo>
                  <a:pt x="744" y="246"/>
                </a:lnTo>
                <a:lnTo>
                  <a:pt x="762" y="266"/>
                </a:lnTo>
                <a:lnTo>
                  <a:pt x="784" y="266"/>
                </a:lnTo>
                <a:lnTo>
                  <a:pt x="797" y="289"/>
                </a:lnTo>
                <a:lnTo>
                  <a:pt x="794" y="319"/>
                </a:lnTo>
                <a:lnTo>
                  <a:pt x="794" y="355"/>
                </a:lnTo>
                <a:lnTo>
                  <a:pt x="807" y="367"/>
                </a:lnTo>
                <a:lnTo>
                  <a:pt x="804" y="390"/>
                </a:lnTo>
                <a:lnTo>
                  <a:pt x="817" y="408"/>
                </a:lnTo>
                <a:lnTo>
                  <a:pt x="825" y="486"/>
                </a:lnTo>
                <a:lnTo>
                  <a:pt x="816" y="569"/>
                </a:lnTo>
                <a:lnTo>
                  <a:pt x="694" y="569"/>
                </a:lnTo>
                <a:lnTo>
                  <a:pt x="693" y="645"/>
                </a:lnTo>
                <a:lnTo>
                  <a:pt x="507" y="642"/>
                </a:lnTo>
                <a:lnTo>
                  <a:pt x="495" y="1230"/>
                </a:lnTo>
                <a:lnTo>
                  <a:pt x="306" y="1227"/>
                </a:lnTo>
                <a:lnTo>
                  <a:pt x="314" y="630"/>
                </a:lnTo>
                <a:lnTo>
                  <a:pt x="237" y="630"/>
                </a:lnTo>
                <a:lnTo>
                  <a:pt x="242" y="548"/>
                </a:lnTo>
                <a:lnTo>
                  <a:pt x="119" y="546"/>
                </a:lnTo>
                <a:lnTo>
                  <a:pt x="116" y="471"/>
                </a:lnTo>
                <a:lnTo>
                  <a:pt x="119" y="384"/>
                </a:lnTo>
                <a:lnTo>
                  <a:pt x="0" y="382"/>
                </a:lnTo>
                <a:lnTo>
                  <a:pt x="23" y="0"/>
                </a:lnTo>
                <a:close/>
              </a:path>
            </a:pathLst>
          </a:custGeom>
          <a:noFill/>
          <a:ln w="15875" cap="flat" cmpd="sng">
            <a:solidFill>
              <a:srgbClr val="CC000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0939" name="Freeform 1763">
            <a:extLst>
              <a:ext uri="{FF2B5EF4-FFF2-40B4-BE49-F238E27FC236}">
                <a16:creationId xmlns:a16="http://schemas.microsoft.com/office/drawing/2014/main" id="{00000000-0008-0000-0800-0000EB100300}"/>
              </a:ext>
            </a:extLst>
          </xdr:cNvPr>
          <xdr:cNvSpPr>
            <a:spLocks/>
          </xdr:cNvSpPr>
        </xdr:nvSpPr>
        <xdr:spPr bwMode="auto">
          <a:xfrm>
            <a:off x="1430" y="2229"/>
            <a:ext cx="627" cy="332"/>
          </a:xfrm>
          <a:custGeom>
            <a:avLst/>
            <a:gdLst>
              <a:gd name="T0" fmla="*/ 0 w 627"/>
              <a:gd name="T1" fmla="*/ 0 h 332"/>
              <a:gd name="T2" fmla="*/ 577 w 627"/>
              <a:gd name="T3" fmla="*/ 15 h 332"/>
              <a:gd name="T4" fmla="*/ 579 w 627"/>
              <a:gd name="T5" fmla="*/ 249 h 332"/>
              <a:gd name="T6" fmla="*/ 627 w 627"/>
              <a:gd name="T7" fmla="*/ 251 h 332"/>
              <a:gd name="T8" fmla="*/ 627 w 627"/>
              <a:gd name="T9" fmla="*/ 332 h 332"/>
              <a:gd name="T10" fmla="*/ 476 w 627"/>
              <a:gd name="T11" fmla="*/ 327 h 332"/>
              <a:gd name="T12" fmla="*/ 473 w 627"/>
              <a:gd name="T13" fmla="*/ 310 h 332"/>
              <a:gd name="T14" fmla="*/ 461 w 627"/>
              <a:gd name="T15" fmla="*/ 294 h 332"/>
              <a:gd name="T16" fmla="*/ 304 w 627"/>
              <a:gd name="T17" fmla="*/ 289 h 332"/>
              <a:gd name="T18" fmla="*/ 287 w 627"/>
              <a:gd name="T19" fmla="*/ 317 h 332"/>
              <a:gd name="T20" fmla="*/ 193 w 627"/>
              <a:gd name="T21" fmla="*/ 320 h 332"/>
              <a:gd name="T22" fmla="*/ 103 w 627"/>
              <a:gd name="T23" fmla="*/ 315 h 332"/>
              <a:gd name="T24" fmla="*/ 0 w 627"/>
              <a:gd name="T25" fmla="*/ 0 h 332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w 627"/>
              <a:gd name="T40" fmla="*/ 0 h 332"/>
              <a:gd name="T41" fmla="*/ 627 w 627"/>
              <a:gd name="T42" fmla="*/ 332 h 332"/>
            </a:gdLst>
            <a:ahLst/>
            <a:cxnLst>
              <a:cxn ang="T26">
                <a:pos x="T0" y="T1"/>
              </a:cxn>
              <a:cxn ang="T27">
                <a:pos x="T2" y="T3"/>
              </a:cxn>
              <a:cxn ang="T28">
                <a:pos x="T4" y="T5"/>
              </a:cxn>
              <a:cxn ang="T29">
                <a:pos x="T6" y="T7"/>
              </a:cxn>
              <a:cxn ang="T30">
                <a:pos x="T8" y="T9"/>
              </a:cxn>
              <a:cxn ang="T31">
                <a:pos x="T10" y="T11"/>
              </a:cxn>
              <a:cxn ang="T32">
                <a:pos x="T12" y="T13"/>
              </a:cxn>
              <a:cxn ang="T33">
                <a:pos x="T14" y="T15"/>
              </a:cxn>
              <a:cxn ang="T34">
                <a:pos x="T16" y="T17"/>
              </a:cxn>
              <a:cxn ang="T35">
                <a:pos x="T18" y="T19"/>
              </a:cxn>
              <a:cxn ang="T36">
                <a:pos x="T20" y="T21"/>
              </a:cxn>
              <a:cxn ang="T37">
                <a:pos x="T22" y="T23"/>
              </a:cxn>
              <a:cxn ang="T38">
                <a:pos x="T24" y="T25"/>
              </a:cxn>
            </a:cxnLst>
            <a:rect l="T39" t="T40" r="T41" b="T42"/>
            <a:pathLst>
              <a:path w="627" h="332">
                <a:moveTo>
                  <a:pt x="0" y="0"/>
                </a:moveTo>
                <a:lnTo>
                  <a:pt x="577" y="15"/>
                </a:lnTo>
                <a:lnTo>
                  <a:pt x="579" y="249"/>
                </a:lnTo>
                <a:lnTo>
                  <a:pt x="627" y="251"/>
                </a:lnTo>
                <a:lnTo>
                  <a:pt x="627" y="332"/>
                </a:lnTo>
                <a:lnTo>
                  <a:pt x="476" y="327"/>
                </a:lnTo>
                <a:lnTo>
                  <a:pt x="473" y="310"/>
                </a:lnTo>
                <a:lnTo>
                  <a:pt x="461" y="294"/>
                </a:lnTo>
                <a:lnTo>
                  <a:pt x="304" y="289"/>
                </a:lnTo>
                <a:lnTo>
                  <a:pt x="287" y="317"/>
                </a:lnTo>
                <a:lnTo>
                  <a:pt x="193" y="320"/>
                </a:lnTo>
                <a:lnTo>
                  <a:pt x="103" y="315"/>
                </a:lnTo>
                <a:lnTo>
                  <a:pt x="0" y="0"/>
                </a:lnTo>
                <a:close/>
              </a:path>
            </a:pathLst>
          </a:custGeom>
          <a:noFill/>
          <a:ln w="15875" cap="flat" cmpd="sng">
            <a:solidFill>
              <a:srgbClr val="CC000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0940" name="Freeform 1764">
            <a:extLst>
              <a:ext uri="{FF2B5EF4-FFF2-40B4-BE49-F238E27FC236}">
                <a16:creationId xmlns:a16="http://schemas.microsoft.com/office/drawing/2014/main" id="{00000000-0008-0000-0800-0000EC100300}"/>
              </a:ext>
            </a:extLst>
          </xdr:cNvPr>
          <xdr:cNvSpPr>
            <a:spLocks/>
          </xdr:cNvSpPr>
        </xdr:nvSpPr>
        <xdr:spPr bwMode="auto">
          <a:xfrm>
            <a:off x="1409" y="2459"/>
            <a:ext cx="494" cy="490"/>
          </a:xfrm>
          <a:custGeom>
            <a:avLst/>
            <a:gdLst>
              <a:gd name="T0" fmla="*/ 494 w 494"/>
              <a:gd name="T1" fmla="*/ 100 h 490"/>
              <a:gd name="T2" fmla="*/ 462 w 494"/>
              <a:gd name="T3" fmla="*/ 102 h 490"/>
              <a:gd name="T4" fmla="*/ 462 w 494"/>
              <a:gd name="T5" fmla="*/ 324 h 490"/>
              <a:gd name="T6" fmla="*/ 460 w 494"/>
              <a:gd name="T7" fmla="*/ 414 h 490"/>
              <a:gd name="T8" fmla="*/ 482 w 494"/>
              <a:gd name="T9" fmla="*/ 412 h 490"/>
              <a:gd name="T10" fmla="*/ 481 w 494"/>
              <a:gd name="T11" fmla="*/ 490 h 490"/>
              <a:gd name="T12" fmla="*/ 343 w 494"/>
              <a:gd name="T13" fmla="*/ 421 h 490"/>
              <a:gd name="T14" fmla="*/ 183 w 494"/>
              <a:gd name="T15" fmla="*/ 340 h 490"/>
              <a:gd name="T16" fmla="*/ 0 w 494"/>
              <a:gd name="T17" fmla="*/ 337 h 490"/>
              <a:gd name="T18" fmla="*/ 3 w 494"/>
              <a:gd name="T19" fmla="*/ 105 h 490"/>
              <a:gd name="T20" fmla="*/ 6 w 494"/>
              <a:gd name="T21" fmla="*/ 0 h 490"/>
              <a:gd name="T22" fmla="*/ 93 w 494"/>
              <a:gd name="T23" fmla="*/ 1 h 490"/>
              <a:gd name="T24" fmla="*/ 119 w 494"/>
              <a:gd name="T25" fmla="*/ 87 h 490"/>
              <a:gd name="T26" fmla="*/ 214 w 494"/>
              <a:gd name="T27" fmla="*/ 85 h 490"/>
              <a:gd name="T28" fmla="*/ 306 w 494"/>
              <a:gd name="T29" fmla="*/ 88 h 490"/>
              <a:gd name="T30" fmla="*/ 328 w 494"/>
              <a:gd name="T31" fmla="*/ 59 h 490"/>
              <a:gd name="T32" fmla="*/ 477 w 494"/>
              <a:gd name="T33" fmla="*/ 62 h 490"/>
              <a:gd name="T34" fmla="*/ 494 w 494"/>
              <a:gd name="T35" fmla="*/ 77 h 490"/>
              <a:gd name="T36" fmla="*/ 494 w 494"/>
              <a:gd name="T37" fmla="*/ 100 h 490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494"/>
              <a:gd name="T58" fmla="*/ 0 h 490"/>
              <a:gd name="T59" fmla="*/ 494 w 494"/>
              <a:gd name="T60" fmla="*/ 490 h 490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494" h="490">
                <a:moveTo>
                  <a:pt x="494" y="100"/>
                </a:moveTo>
                <a:lnTo>
                  <a:pt x="462" y="102"/>
                </a:lnTo>
                <a:lnTo>
                  <a:pt x="462" y="324"/>
                </a:lnTo>
                <a:lnTo>
                  <a:pt x="460" y="414"/>
                </a:lnTo>
                <a:lnTo>
                  <a:pt x="482" y="412"/>
                </a:lnTo>
                <a:lnTo>
                  <a:pt x="481" y="490"/>
                </a:lnTo>
                <a:lnTo>
                  <a:pt x="343" y="421"/>
                </a:lnTo>
                <a:lnTo>
                  <a:pt x="183" y="340"/>
                </a:lnTo>
                <a:lnTo>
                  <a:pt x="0" y="337"/>
                </a:lnTo>
                <a:lnTo>
                  <a:pt x="3" y="105"/>
                </a:lnTo>
                <a:lnTo>
                  <a:pt x="6" y="0"/>
                </a:lnTo>
                <a:lnTo>
                  <a:pt x="93" y="1"/>
                </a:lnTo>
                <a:lnTo>
                  <a:pt x="119" y="87"/>
                </a:lnTo>
                <a:lnTo>
                  <a:pt x="214" y="85"/>
                </a:lnTo>
                <a:lnTo>
                  <a:pt x="306" y="88"/>
                </a:lnTo>
                <a:lnTo>
                  <a:pt x="328" y="59"/>
                </a:lnTo>
                <a:lnTo>
                  <a:pt x="477" y="62"/>
                </a:lnTo>
                <a:lnTo>
                  <a:pt x="494" y="77"/>
                </a:lnTo>
                <a:lnTo>
                  <a:pt x="494" y="100"/>
                </a:lnTo>
                <a:close/>
              </a:path>
            </a:pathLst>
          </a:custGeom>
          <a:noFill/>
          <a:ln w="9525" cap="flat" cmpd="sng">
            <a:solidFill>
              <a:srgbClr val="CC000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0941" name="Freeform 1765">
            <a:extLst>
              <a:ext uri="{FF2B5EF4-FFF2-40B4-BE49-F238E27FC236}">
                <a16:creationId xmlns:a16="http://schemas.microsoft.com/office/drawing/2014/main" id="{00000000-0008-0000-0800-0000ED100300}"/>
              </a:ext>
            </a:extLst>
          </xdr:cNvPr>
          <xdr:cNvSpPr>
            <a:spLocks/>
          </xdr:cNvSpPr>
        </xdr:nvSpPr>
        <xdr:spPr bwMode="auto">
          <a:xfrm>
            <a:off x="240" y="2768"/>
            <a:ext cx="849" cy="1249"/>
          </a:xfrm>
          <a:custGeom>
            <a:avLst/>
            <a:gdLst>
              <a:gd name="T0" fmla="*/ 44 w 849"/>
              <a:gd name="T1" fmla="*/ 0 h 1249"/>
              <a:gd name="T2" fmla="*/ 849 w 849"/>
              <a:gd name="T3" fmla="*/ 21 h 1249"/>
              <a:gd name="T4" fmla="*/ 844 w 849"/>
              <a:gd name="T5" fmla="*/ 304 h 1249"/>
              <a:gd name="T6" fmla="*/ 839 w 849"/>
              <a:gd name="T7" fmla="*/ 588 h 1249"/>
              <a:gd name="T8" fmla="*/ 829 w 849"/>
              <a:gd name="T9" fmla="*/ 1012 h 1249"/>
              <a:gd name="T10" fmla="*/ 645 w 849"/>
              <a:gd name="T11" fmla="*/ 1012 h 1249"/>
              <a:gd name="T12" fmla="*/ 648 w 849"/>
              <a:gd name="T13" fmla="*/ 1249 h 1249"/>
              <a:gd name="T14" fmla="*/ 0 w 849"/>
              <a:gd name="T15" fmla="*/ 1228 h 1249"/>
              <a:gd name="T16" fmla="*/ 32 w 849"/>
              <a:gd name="T17" fmla="*/ 228 h 1249"/>
              <a:gd name="T18" fmla="*/ 44 w 849"/>
              <a:gd name="T19" fmla="*/ 0 h 1249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w 849"/>
              <a:gd name="T31" fmla="*/ 0 h 1249"/>
              <a:gd name="T32" fmla="*/ 849 w 849"/>
              <a:gd name="T33" fmla="*/ 1249 h 1249"/>
            </a:gdLst>
            <a:ahLst/>
            <a:cxnLst>
              <a:cxn ang="T20">
                <a:pos x="T0" y="T1"/>
              </a:cxn>
              <a:cxn ang="T21">
                <a:pos x="T2" y="T3"/>
              </a:cxn>
              <a:cxn ang="T22">
                <a:pos x="T4" y="T5"/>
              </a:cxn>
              <a:cxn ang="T23">
                <a:pos x="T6" y="T7"/>
              </a:cxn>
              <a:cxn ang="T24">
                <a:pos x="T8" y="T9"/>
              </a:cxn>
              <a:cxn ang="T25">
                <a:pos x="T10" y="T11"/>
              </a:cxn>
              <a:cxn ang="T26">
                <a:pos x="T12" y="T13"/>
              </a:cxn>
              <a:cxn ang="T27">
                <a:pos x="T14" y="T15"/>
              </a:cxn>
              <a:cxn ang="T28">
                <a:pos x="T16" y="T17"/>
              </a:cxn>
              <a:cxn ang="T29">
                <a:pos x="T18" y="T19"/>
              </a:cxn>
            </a:cxnLst>
            <a:rect l="T30" t="T31" r="T32" b="T33"/>
            <a:pathLst>
              <a:path w="849" h="1249">
                <a:moveTo>
                  <a:pt x="44" y="0"/>
                </a:moveTo>
                <a:lnTo>
                  <a:pt x="849" y="21"/>
                </a:lnTo>
                <a:lnTo>
                  <a:pt x="844" y="304"/>
                </a:lnTo>
                <a:lnTo>
                  <a:pt x="839" y="588"/>
                </a:lnTo>
                <a:lnTo>
                  <a:pt x="829" y="1012"/>
                </a:lnTo>
                <a:lnTo>
                  <a:pt x="645" y="1012"/>
                </a:lnTo>
                <a:lnTo>
                  <a:pt x="648" y="1249"/>
                </a:lnTo>
                <a:lnTo>
                  <a:pt x="0" y="1228"/>
                </a:lnTo>
                <a:lnTo>
                  <a:pt x="32" y="228"/>
                </a:lnTo>
                <a:lnTo>
                  <a:pt x="44" y="0"/>
                </a:lnTo>
                <a:close/>
              </a:path>
            </a:pathLst>
          </a:custGeom>
          <a:noFill/>
          <a:ln w="15875" cap="flat" cmpd="sng">
            <a:solidFill>
              <a:srgbClr val="CC000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0942" name="Freeform 1766">
            <a:extLst>
              <a:ext uri="{FF2B5EF4-FFF2-40B4-BE49-F238E27FC236}">
                <a16:creationId xmlns:a16="http://schemas.microsoft.com/office/drawing/2014/main" id="{00000000-0008-0000-0800-0000EE100300}"/>
              </a:ext>
            </a:extLst>
          </xdr:cNvPr>
          <xdr:cNvSpPr>
            <a:spLocks/>
          </xdr:cNvSpPr>
        </xdr:nvSpPr>
        <xdr:spPr bwMode="auto">
          <a:xfrm>
            <a:off x="1872" y="3895"/>
            <a:ext cx="968" cy="1268"/>
          </a:xfrm>
          <a:custGeom>
            <a:avLst/>
            <a:gdLst>
              <a:gd name="T0" fmla="*/ 43 w 968"/>
              <a:gd name="T1" fmla="*/ 0 h 1268"/>
              <a:gd name="T2" fmla="*/ 424 w 968"/>
              <a:gd name="T3" fmla="*/ 2 h 1268"/>
              <a:gd name="T4" fmla="*/ 424 w 968"/>
              <a:gd name="T5" fmla="*/ 78 h 1268"/>
              <a:gd name="T6" fmla="*/ 676 w 968"/>
              <a:gd name="T7" fmla="*/ 81 h 1268"/>
              <a:gd name="T8" fmla="*/ 676 w 968"/>
              <a:gd name="T9" fmla="*/ 260 h 1268"/>
              <a:gd name="T10" fmla="*/ 678 w 968"/>
              <a:gd name="T11" fmla="*/ 275 h 1268"/>
              <a:gd name="T12" fmla="*/ 671 w 968"/>
              <a:gd name="T13" fmla="*/ 396 h 1268"/>
              <a:gd name="T14" fmla="*/ 655 w 968"/>
              <a:gd name="T15" fmla="*/ 398 h 1268"/>
              <a:gd name="T16" fmla="*/ 650 w 968"/>
              <a:gd name="T17" fmla="*/ 802 h 1268"/>
              <a:gd name="T18" fmla="*/ 964 w 968"/>
              <a:gd name="T19" fmla="*/ 802 h 1268"/>
              <a:gd name="T20" fmla="*/ 968 w 968"/>
              <a:gd name="T21" fmla="*/ 1268 h 1268"/>
              <a:gd name="T22" fmla="*/ 0 w 968"/>
              <a:gd name="T23" fmla="*/ 1255 h 1268"/>
              <a:gd name="T24" fmla="*/ 5 w 968"/>
              <a:gd name="T25" fmla="*/ 963 h 1268"/>
              <a:gd name="T26" fmla="*/ 20 w 968"/>
              <a:gd name="T27" fmla="*/ 385 h 1268"/>
              <a:gd name="T28" fmla="*/ 35 w 968"/>
              <a:gd name="T29" fmla="*/ 386 h 1268"/>
              <a:gd name="T30" fmla="*/ 42 w 968"/>
              <a:gd name="T31" fmla="*/ 47 h 1268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w 968"/>
              <a:gd name="T49" fmla="*/ 0 h 1268"/>
              <a:gd name="T50" fmla="*/ 968 w 968"/>
              <a:gd name="T51" fmla="*/ 1268 h 1268"/>
            </a:gdLst>
            <a:ahLst/>
            <a:cxnLst>
              <a:cxn ang="T32">
                <a:pos x="T0" y="T1"/>
              </a:cxn>
              <a:cxn ang="T33">
                <a:pos x="T2" y="T3"/>
              </a:cxn>
              <a:cxn ang="T34">
                <a:pos x="T4" y="T5"/>
              </a:cxn>
              <a:cxn ang="T35">
                <a:pos x="T6" y="T7"/>
              </a:cxn>
              <a:cxn ang="T36">
                <a:pos x="T8" y="T9"/>
              </a:cxn>
              <a:cxn ang="T37">
                <a:pos x="T10" y="T11"/>
              </a:cxn>
              <a:cxn ang="T38">
                <a:pos x="T12" y="T13"/>
              </a:cxn>
              <a:cxn ang="T39">
                <a:pos x="T14" y="T15"/>
              </a:cxn>
              <a:cxn ang="T40">
                <a:pos x="T16" y="T17"/>
              </a:cxn>
              <a:cxn ang="T41">
                <a:pos x="T18" y="T19"/>
              </a:cxn>
              <a:cxn ang="T42">
                <a:pos x="T20" y="T21"/>
              </a:cxn>
              <a:cxn ang="T43">
                <a:pos x="T22" y="T23"/>
              </a:cxn>
              <a:cxn ang="T44">
                <a:pos x="T24" y="T25"/>
              </a:cxn>
              <a:cxn ang="T45">
                <a:pos x="T26" y="T27"/>
              </a:cxn>
              <a:cxn ang="T46">
                <a:pos x="T28" y="T29"/>
              </a:cxn>
              <a:cxn ang="T47">
                <a:pos x="T30" y="T31"/>
              </a:cxn>
            </a:cxnLst>
            <a:rect l="T48" t="T49" r="T50" b="T51"/>
            <a:pathLst>
              <a:path w="968" h="1268">
                <a:moveTo>
                  <a:pt x="43" y="0"/>
                </a:moveTo>
                <a:lnTo>
                  <a:pt x="424" y="2"/>
                </a:lnTo>
                <a:lnTo>
                  <a:pt x="424" y="78"/>
                </a:lnTo>
                <a:lnTo>
                  <a:pt x="676" y="81"/>
                </a:lnTo>
                <a:lnTo>
                  <a:pt x="676" y="260"/>
                </a:lnTo>
                <a:lnTo>
                  <a:pt x="678" y="275"/>
                </a:lnTo>
                <a:lnTo>
                  <a:pt x="671" y="396"/>
                </a:lnTo>
                <a:lnTo>
                  <a:pt x="655" y="398"/>
                </a:lnTo>
                <a:lnTo>
                  <a:pt x="650" y="802"/>
                </a:lnTo>
                <a:lnTo>
                  <a:pt x="964" y="802"/>
                </a:lnTo>
                <a:lnTo>
                  <a:pt x="968" y="1268"/>
                </a:lnTo>
                <a:lnTo>
                  <a:pt x="0" y="1255"/>
                </a:lnTo>
                <a:lnTo>
                  <a:pt x="5" y="963"/>
                </a:lnTo>
                <a:lnTo>
                  <a:pt x="20" y="385"/>
                </a:lnTo>
                <a:lnTo>
                  <a:pt x="35" y="386"/>
                </a:lnTo>
                <a:lnTo>
                  <a:pt x="42" y="47"/>
                </a:lnTo>
              </a:path>
            </a:pathLst>
          </a:custGeom>
          <a:noFill/>
          <a:ln w="15875" cap="flat" cmpd="sng">
            <a:solidFill>
              <a:srgbClr val="CC000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0943" name="Freeform 1767">
            <a:extLst>
              <a:ext uri="{FF2B5EF4-FFF2-40B4-BE49-F238E27FC236}">
                <a16:creationId xmlns:a16="http://schemas.microsoft.com/office/drawing/2014/main" id="{00000000-0008-0000-0800-0000EF100300}"/>
              </a:ext>
            </a:extLst>
          </xdr:cNvPr>
          <xdr:cNvSpPr>
            <a:spLocks/>
          </xdr:cNvSpPr>
        </xdr:nvSpPr>
        <xdr:spPr bwMode="auto">
          <a:xfrm>
            <a:off x="174" y="4382"/>
            <a:ext cx="543" cy="1314"/>
          </a:xfrm>
          <a:custGeom>
            <a:avLst/>
            <a:gdLst>
              <a:gd name="T0" fmla="*/ 50 w 543"/>
              <a:gd name="T1" fmla="*/ 0 h 1314"/>
              <a:gd name="T2" fmla="*/ 167 w 543"/>
              <a:gd name="T3" fmla="*/ 3 h 1314"/>
              <a:gd name="T4" fmla="*/ 162 w 543"/>
              <a:gd name="T5" fmla="*/ 163 h 1314"/>
              <a:gd name="T6" fmla="*/ 282 w 543"/>
              <a:gd name="T7" fmla="*/ 169 h 1314"/>
              <a:gd name="T8" fmla="*/ 285 w 543"/>
              <a:gd name="T9" fmla="*/ 250 h 1314"/>
              <a:gd name="T10" fmla="*/ 353 w 543"/>
              <a:gd name="T11" fmla="*/ 249 h 1314"/>
              <a:gd name="T12" fmla="*/ 354 w 543"/>
              <a:gd name="T13" fmla="*/ 844 h 1314"/>
              <a:gd name="T14" fmla="*/ 357 w 543"/>
              <a:gd name="T15" fmla="*/ 844 h 1314"/>
              <a:gd name="T16" fmla="*/ 543 w 543"/>
              <a:gd name="T17" fmla="*/ 844 h 1314"/>
              <a:gd name="T18" fmla="*/ 531 w 543"/>
              <a:gd name="T19" fmla="*/ 1314 h 1314"/>
              <a:gd name="T20" fmla="*/ 0 w 543"/>
              <a:gd name="T21" fmla="*/ 1309 h 1314"/>
              <a:gd name="T22" fmla="*/ 50 w 543"/>
              <a:gd name="T23" fmla="*/ 0 h 1314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w 543"/>
              <a:gd name="T37" fmla="*/ 0 h 1314"/>
              <a:gd name="T38" fmla="*/ 543 w 543"/>
              <a:gd name="T39" fmla="*/ 1314 h 1314"/>
            </a:gdLst>
            <a:ahLst/>
            <a:cxnLst>
              <a:cxn ang="T24">
                <a:pos x="T0" y="T1"/>
              </a:cxn>
              <a:cxn ang="T25">
                <a:pos x="T2" y="T3"/>
              </a:cxn>
              <a:cxn ang="T26">
                <a:pos x="T4" y="T5"/>
              </a:cxn>
              <a:cxn ang="T27">
                <a:pos x="T6" y="T7"/>
              </a:cxn>
              <a:cxn ang="T28">
                <a:pos x="T8" y="T9"/>
              </a:cxn>
              <a:cxn ang="T29">
                <a:pos x="T10" y="T11"/>
              </a:cxn>
              <a:cxn ang="T30">
                <a:pos x="T12" y="T13"/>
              </a:cxn>
              <a:cxn ang="T31">
                <a:pos x="T14" y="T15"/>
              </a:cxn>
              <a:cxn ang="T32">
                <a:pos x="T16" y="T17"/>
              </a:cxn>
              <a:cxn ang="T33">
                <a:pos x="T18" y="T19"/>
              </a:cxn>
              <a:cxn ang="T34">
                <a:pos x="T20" y="T21"/>
              </a:cxn>
              <a:cxn ang="T35">
                <a:pos x="T22" y="T23"/>
              </a:cxn>
            </a:cxnLst>
            <a:rect l="T36" t="T37" r="T38" b="T39"/>
            <a:pathLst>
              <a:path w="543" h="1314">
                <a:moveTo>
                  <a:pt x="50" y="0"/>
                </a:moveTo>
                <a:lnTo>
                  <a:pt x="167" y="3"/>
                </a:lnTo>
                <a:lnTo>
                  <a:pt x="162" y="163"/>
                </a:lnTo>
                <a:lnTo>
                  <a:pt x="282" y="169"/>
                </a:lnTo>
                <a:lnTo>
                  <a:pt x="285" y="250"/>
                </a:lnTo>
                <a:lnTo>
                  <a:pt x="353" y="249"/>
                </a:lnTo>
                <a:lnTo>
                  <a:pt x="354" y="844"/>
                </a:lnTo>
                <a:lnTo>
                  <a:pt x="357" y="844"/>
                </a:lnTo>
                <a:lnTo>
                  <a:pt x="543" y="844"/>
                </a:lnTo>
                <a:lnTo>
                  <a:pt x="531" y="1314"/>
                </a:lnTo>
                <a:lnTo>
                  <a:pt x="0" y="1309"/>
                </a:lnTo>
                <a:lnTo>
                  <a:pt x="50" y="0"/>
                </a:lnTo>
                <a:close/>
              </a:path>
            </a:pathLst>
          </a:custGeom>
          <a:noFill/>
          <a:ln w="15875" cap="flat" cmpd="sng">
            <a:solidFill>
              <a:srgbClr val="CC000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0944" name="Freeform 1768">
            <a:extLst>
              <a:ext uri="{FF2B5EF4-FFF2-40B4-BE49-F238E27FC236}">
                <a16:creationId xmlns:a16="http://schemas.microsoft.com/office/drawing/2014/main" id="{00000000-0008-0000-0800-0000F0100300}"/>
              </a:ext>
            </a:extLst>
          </xdr:cNvPr>
          <xdr:cNvSpPr>
            <a:spLocks/>
          </xdr:cNvSpPr>
        </xdr:nvSpPr>
        <xdr:spPr bwMode="auto">
          <a:xfrm>
            <a:off x="3351" y="642"/>
            <a:ext cx="606" cy="1146"/>
          </a:xfrm>
          <a:custGeom>
            <a:avLst/>
            <a:gdLst>
              <a:gd name="T0" fmla="*/ 3 w 606"/>
              <a:gd name="T1" fmla="*/ 0 h 1146"/>
              <a:gd name="T2" fmla="*/ 603 w 606"/>
              <a:gd name="T3" fmla="*/ 3 h 1146"/>
              <a:gd name="T4" fmla="*/ 606 w 606"/>
              <a:gd name="T5" fmla="*/ 450 h 1146"/>
              <a:gd name="T6" fmla="*/ 582 w 606"/>
              <a:gd name="T7" fmla="*/ 447 h 1146"/>
              <a:gd name="T8" fmla="*/ 591 w 606"/>
              <a:gd name="T9" fmla="*/ 1143 h 1146"/>
              <a:gd name="T10" fmla="*/ 390 w 606"/>
              <a:gd name="T11" fmla="*/ 1146 h 1146"/>
              <a:gd name="T12" fmla="*/ 387 w 606"/>
              <a:gd name="T13" fmla="*/ 834 h 1146"/>
              <a:gd name="T14" fmla="*/ 135 w 606"/>
              <a:gd name="T15" fmla="*/ 834 h 1146"/>
              <a:gd name="T16" fmla="*/ 137 w 606"/>
              <a:gd name="T17" fmla="*/ 752 h 1146"/>
              <a:gd name="T18" fmla="*/ 0 w 606"/>
              <a:gd name="T19" fmla="*/ 747 h 1146"/>
              <a:gd name="T20" fmla="*/ 3 w 606"/>
              <a:gd name="T21" fmla="*/ 0 h 114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w 606"/>
              <a:gd name="T34" fmla="*/ 0 h 1146"/>
              <a:gd name="T35" fmla="*/ 606 w 606"/>
              <a:gd name="T36" fmla="*/ 1146 h 1146"/>
            </a:gdLst>
            <a:ahLst/>
            <a:cxnLst>
              <a:cxn ang="T22">
                <a:pos x="T0" y="T1"/>
              </a:cxn>
              <a:cxn ang="T23">
                <a:pos x="T2" y="T3"/>
              </a:cxn>
              <a:cxn ang="T24">
                <a:pos x="T4" y="T5"/>
              </a:cxn>
              <a:cxn ang="T25">
                <a:pos x="T6" y="T7"/>
              </a:cxn>
              <a:cxn ang="T26">
                <a:pos x="T8" y="T9"/>
              </a:cxn>
              <a:cxn ang="T27">
                <a:pos x="T10" y="T11"/>
              </a:cxn>
              <a:cxn ang="T28">
                <a:pos x="T12" y="T13"/>
              </a:cxn>
              <a:cxn ang="T29">
                <a:pos x="T14" y="T15"/>
              </a:cxn>
              <a:cxn ang="T30">
                <a:pos x="T16" y="T17"/>
              </a:cxn>
              <a:cxn ang="T31">
                <a:pos x="T18" y="T19"/>
              </a:cxn>
              <a:cxn ang="T32">
                <a:pos x="T20" y="T21"/>
              </a:cxn>
            </a:cxnLst>
            <a:rect l="T33" t="T34" r="T35" b="T36"/>
            <a:pathLst>
              <a:path w="606" h="1146">
                <a:moveTo>
                  <a:pt x="3" y="0"/>
                </a:moveTo>
                <a:lnTo>
                  <a:pt x="603" y="3"/>
                </a:lnTo>
                <a:lnTo>
                  <a:pt x="606" y="450"/>
                </a:lnTo>
                <a:lnTo>
                  <a:pt x="582" y="447"/>
                </a:lnTo>
                <a:cubicBezTo>
                  <a:pt x="585" y="679"/>
                  <a:pt x="591" y="1143"/>
                  <a:pt x="591" y="1143"/>
                </a:cubicBezTo>
                <a:lnTo>
                  <a:pt x="390" y="1146"/>
                </a:lnTo>
                <a:lnTo>
                  <a:pt x="387" y="834"/>
                </a:lnTo>
                <a:lnTo>
                  <a:pt x="135" y="834"/>
                </a:lnTo>
                <a:lnTo>
                  <a:pt x="137" y="752"/>
                </a:lnTo>
                <a:cubicBezTo>
                  <a:pt x="95" y="750"/>
                  <a:pt x="0" y="747"/>
                  <a:pt x="0" y="747"/>
                </a:cubicBezTo>
                <a:lnTo>
                  <a:pt x="3" y="0"/>
                </a:lnTo>
                <a:close/>
              </a:path>
            </a:pathLst>
          </a:custGeom>
          <a:noFill/>
          <a:ln w="15875" cap="flat" cmpd="sng">
            <a:solidFill>
              <a:srgbClr val="CC000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0945" name="Freeform 1769">
            <a:extLst>
              <a:ext uri="{FF2B5EF4-FFF2-40B4-BE49-F238E27FC236}">
                <a16:creationId xmlns:a16="http://schemas.microsoft.com/office/drawing/2014/main" id="{00000000-0008-0000-0800-0000F1100300}"/>
              </a:ext>
            </a:extLst>
          </xdr:cNvPr>
          <xdr:cNvSpPr>
            <a:spLocks/>
          </xdr:cNvSpPr>
        </xdr:nvSpPr>
        <xdr:spPr bwMode="auto">
          <a:xfrm>
            <a:off x="2321" y="1308"/>
            <a:ext cx="838" cy="447"/>
          </a:xfrm>
          <a:custGeom>
            <a:avLst/>
            <a:gdLst>
              <a:gd name="T0" fmla="*/ 213 w 838"/>
              <a:gd name="T1" fmla="*/ 0 h 447"/>
              <a:gd name="T2" fmla="*/ 520 w 838"/>
              <a:gd name="T3" fmla="*/ 3 h 447"/>
              <a:gd name="T4" fmla="*/ 520 w 838"/>
              <a:gd name="T5" fmla="*/ 39 h 447"/>
              <a:gd name="T6" fmla="*/ 775 w 838"/>
              <a:gd name="T7" fmla="*/ 39 h 447"/>
              <a:gd name="T8" fmla="*/ 778 w 838"/>
              <a:gd name="T9" fmla="*/ 69 h 447"/>
              <a:gd name="T10" fmla="*/ 790 w 838"/>
              <a:gd name="T11" fmla="*/ 96 h 447"/>
              <a:gd name="T12" fmla="*/ 790 w 838"/>
              <a:gd name="T13" fmla="*/ 123 h 447"/>
              <a:gd name="T14" fmla="*/ 796 w 838"/>
              <a:gd name="T15" fmla="*/ 141 h 447"/>
              <a:gd name="T16" fmla="*/ 808 w 838"/>
              <a:gd name="T17" fmla="*/ 165 h 447"/>
              <a:gd name="T18" fmla="*/ 826 w 838"/>
              <a:gd name="T19" fmla="*/ 225 h 447"/>
              <a:gd name="T20" fmla="*/ 829 w 838"/>
              <a:gd name="T21" fmla="*/ 243 h 447"/>
              <a:gd name="T22" fmla="*/ 838 w 838"/>
              <a:gd name="T23" fmla="*/ 282 h 447"/>
              <a:gd name="T24" fmla="*/ 829 w 838"/>
              <a:gd name="T25" fmla="*/ 321 h 447"/>
              <a:gd name="T26" fmla="*/ 817 w 838"/>
              <a:gd name="T27" fmla="*/ 351 h 447"/>
              <a:gd name="T28" fmla="*/ 808 w 838"/>
              <a:gd name="T29" fmla="*/ 387 h 447"/>
              <a:gd name="T30" fmla="*/ 814 w 838"/>
              <a:gd name="T31" fmla="*/ 405 h 447"/>
              <a:gd name="T32" fmla="*/ 823 w 838"/>
              <a:gd name="T33" fmla="*/ 438 h 447"/>
              <a:gd name="T34" fmla="*/ 472 w 838"/>
              <a:gd name="T35" fmla="*/ 441 h 447"/>
              <a:gd name="T36" fmla="*/ 406 w 838"/>
              <a:gd name="T37" fmla="*/ 447 h 447"/>
              <a:gd name="T38" fmla="*/ 364 w 838"/>
              <a:gd name="T39" fmla="*/ 417 h 447"/>
              <a:gd name="T40" fmla="*/ 319 w 838"/>
              <a:gd name="T41" fmla="*/ 399 h 447"/>
              <a:gd name="T42" fmla="*/ 304 w 838"/>
              <a:gd name="T43" fmla="*/ 387 h 447"/>
              <a:gd name="T44" fmla="*/ 280 w 838"/>
              <a:gd name="T45" fmla="*/ 372 h 447"/>
              <a:gd name="T46" fmla="*/ 253 w 838"/>
              <a:gd name="T47" fmla="*/ 369 h 447"/>
              <a:gd name="T48" fmla="*/ 214 w 838"/>
              <a:gd name="T49" fmla="*/ 357 h 447"/>
              <a:gd name="T50" fmla="*/ 3 w 838"/>
              <a:gd name="T51" fmla="*/ 357 h 447"/>
              <a:gd name="T52" fmla="*/ 0 w 838"/>
              <a:gd name="T53" fmla="*/ 267 h 447"/>
              <a:gd name="T54" fmla="*/ 39 w 838"/>
              <a:gd name="T55" fmla="*/ 267 h 447"/>
              <a:gd name="T56" fmla="*/ 108 w 838"/>
              <a:gd name="T57" fmla="*/ 251 h 447"/>
              <a:gd name="T58" fmla="*/ 121 w 838"/>
              <a:gd name="T59" fmla="*/ 210 h 447"/>
              <a:gd name="T60" fmla="*/ 160 w 838"/>
              <a:gd name="T61" fmla="*/ 186 h 447"/>
              <a:gd name="T62" fmla="*/ 175 w 838"/>
              <a:gd name="T63" fmla="*/ 156 h 447"/>
              <a:gd name="T64" fmla="*/ 172 w 838"/>
              <a:gd name="T65" fmla="*/ 138 h 447"/>
              <a:gd name="T66" fmla="*/ 187 w 838"/>
              <a:gd name="T67" fmla="*/ 117 h 447"/>
              <a:gd name="T68" fmla="*/ 184 w 838"/>
              <a:gd name="T69" fmla="*/ 69 h 447"/>
              <a:gd name="T70" fmla="*/ 172 w 838"/>
              <a:gd name="T71" fmla="*/ 54 h 447"/>
              <a:gd name="T72" fmla="*/ 178 w 838"/>
              <a:gd name="T73" fmla="*/ 33 h 447"/>
              <a:gd name="T74" fmla="*/ 213 w 838"/>
              <a:gd name="T75" fmla="*/ 0 h 447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w 838"/>
              <a:gd name="T115" fmla="*/ 0 h 447"/>
              <a:gd name="T116" fmla="*/ 838 w 838"/>
              <a:gd name="T117" fmla="*/ 447 h 447"/>
            </a:gdLst>
            <a:ahLst/>
            <a:cxnLst>
              <a:cxn ang="T76">
                <a:pos x="T0" y="T1"/>
              </a:cxn>
              <a:cxn ang="T77">
                <a:pos x="T2" y="T3"/>
              </a:cxn>
              <a:cxn ang="T78">
                <a:pos x="T4" y="T5"/>
              </a:cxn>
              <a:cxn ang="T79">
                <a:pos x="T6" y="T7"/>
              </a:cxn>
              <a:cxn ang="T80">
                <a:pos x="T8" y="T9"/>
              </a:cxn>
              <a:cxn ang="T81">
                <a:pos x="T10" y="T11"/>
              </a:cxn>
              <a:cxn ang="T82">
                <a:pos x="T12" y="T13"/>
              </a:cxn>
              <a:cxn ang="T83">
                <a:pos x="T14" y="T15"/>
              </a:cxn>
              <a:cxn ang="T84">
                <a:pos x="T16" y="T17"/>
              </a:cxn>
              <a:cxn ang="T85">
                <a:pos x="T18" y="T19"/>
              </a:cxn>
              <a:cxn ang="T86">
                <a:pos x="T20" y="T21"/>
              </a:cxn>
              <a:cxn ang="T87">
                <a:pos x="T22" y="T23"/>
              </a:cxn>
              <a:cxn ang="T88">
                <a:pos x="T24" y="T25"/>
              </a:cxn>
              <a:cxn ang="T89">
                <a:pos x="T26" y="T27"/>
              </a:cxn>
              <a:cxn ang="T90">
                <a:pos x="T28" y="T29"/>
              </a:cxn>
              <a:cxn ang="T91">
                <a:pos x="T30" y="T31"/>
              </a:cxn>
              <a:cxn ang="T92">
                <a:pos x="T32" y="T33"/>
              </a:cxn>
              <a:cxn ang="T93">
                <a:pos x="T34" y="T35"/>
              </a:cxn>
              <a:cxn ang="T94">
                <a:pos x="T36" y="T37"/>
              </a:cxn>
              <a:cxn ang="T95">
                <a:pos x="T38" y="T39"/>
              </a:cxn>
              <a:cxn ang="T96">
                <a:pos x="T40" y="T41"/>
              </a:cxn>
              <a:cxn ang="T97">
                <a:pos x="T42" y="T43"/>
              </a:cxn>
              <a:cxn ang="T98">
                <a:pos x="T44" y="T45"/>
              </a:cxn>
              <a:cxn ang="T99">
                <a:pos x="T46" y="T47"/>
              </a:cxn>
              <a:cxn ang="T100">
                <a:pos x="T48" y="T49"/>
              </a:cxn>
              <a:cxn ang="T101">
                <a:pos x="T50" y="T51"/>
              </a:cxn>
              <a:cxn ang="T102">
                <a:pos x="T52" y="T53"/>
              </a:cxn>
              <a:cxn ang="T103">
                <a:pos x="T54" y="T55"/>
              </a:cxn>
              <a:cxn ang="T104">
                <a:pos x="T56" y="T57"/>
              </a:cxn>
              <a:cxn ang="T105">
                <a:pos x="T58" y="T59"/>
              </a:cxn>
              <a:cxn ang="T106">
                <a:pos x="T60" y="T61"/>
              </a:cxn>
              <a:cxn ang="T107">
                <a:pos x="T62" y="T63"/>
              </a:cxn>
              <a:cxn ang="T108">
                <a:pos x="T64" y="T65"/>
              </a:cxn>
              <a:cxn ang="T109">
                <a:pos x="T66" y="T67"/>
              </a:cxn>
              <a:cxn ang="T110">
                <a:pos x="T68" y="T69"/>
              </a:cxn>
              <a:cxn ang="T111">
                <a:pos x="T70" y="T71"/>
              </a:cxn>
              <a:cxn ang="T112">
                <a:pos x="T72" y="T73"/>
              </a:cxn>
              <a:cxn ang="T113">
                <a:pos x="T74" y="T75"/>
              </a:cxn>
            </a:cxnLst>
            <a:rect l="T114" t="T115" r="T116" b="T117"/>
            <a:pathLst>
              <a:path w="838" h="447">
                <a:moveTo>
                  <a:pt x="213" y="0"/>
                </a:moveTo>
                <a:lnTo>
                  <a:pt x="520" y="3"/>
                </a:lnTo>
                <a:lnTo>
                  <a:pt x="520" y="39"/>
                </a:lnTo>
                <a:lnTo>
                  <a:pt x="775" y="39"/>
                </a:lnTo>
                <a:lnTo>
                  <a:pt x="778" y="69"/>
                </a:lnTo>
                <a:lnTo>
                  <a:pt x="790" y="96"/>
                </a:lnTo>
                <a:lnTo>
                  <a:pt x="790" y="123"/>
                </a:lnTo>
                <a:lnTo>
                  <a:pt x="796" y="141"/>
                </a:lnTo>
                <a:lnTo>
                  <a:pt x="808" y="165"/>
                </a:lnTo>
                <a:lnTo>
                  <a:pt x="826" y="225"/>
                </a:lnTo>
                <a:lnTo>
                  <a:pt x="829" y="243"/>
                </a:lnTo>
                <a:lnTo>
                  <a:pt x="838" y="282"/>
                </a:lnTo>
                <a:lnTo>
                  <a:pt x="829" y="321"/>
                </a:lnTo>
                <a:lnTo>
                  <a:pt x="817" y="351"/>
                </a:lnTo>
                <a:lnTo>
                  <a:pt x="808" y="387"/>
                </a:lnTo>
                <a:lnTo>
                  <a:pt x="814" y="405"/>
                </a:lnTo>
                <a:lnTo>
                  <a:pt x="823" y="438"/>
                </a:lnTo>
                <a:lnTo>
                  <a:pt x="472" y="441"/>
                </a:lnTo>
                <a:lnTo>
                  <a:pt x="406" y="447"/>
                </a:lnTo>
                <a:lnTo>
                  <a:pt x="364" y="417"/>
                </a:lnTo>
                <a:lnTo>
                  <a:pt x="319" y="399"/>
                </a:lnTo>
                <a:lnTo>
                  <a:pt x="304" y="387"/>
                </a:lnTo>
                <a:lnTo>
                  <a:pt x="280" y="372"/>
                </a:lnTo>
                <a:lnTo>
                  <a:pt x="253" y="369"/>
                </a:lnTo>
                <a:lnTo>
                  <a:pt x="214" y="357"/>
                </a:lnTo>
                <a:lnTo>
                  <a:pt x="3" y="357"/>
                </a:lnTo>
                <a:lnTo>
                  <a:pt x="0" y="267"/>
                </a:lnTo>
                <a:lnTo>
                  <a:pt x="39" y="267"/>
                </a:lnTo>
                <a:lnTo>
                  <a:pt x="108" y="251"/>
                </a:lnTo>
                <a:lnTo>
                  <a:pt x="121" y="210"/>
                </a:lnTo>
                <a:lnTo>
                  <a:pt x="160" y="186"/>
                </a:lnTo>
                <a:lnTo>
                  <a:pt x="175" y="156"/>
                </a:lnTo>
                <a:lnTo>
                  <a:pt x="172" y="138"/>
                </a:lnTo>
                <a:lnTo>
                  <a:pt x="187" y="117"/>
                </a:lnTo>
                <a:cubicBezTo>
                  <a:pt x="186" y="101"/>
                  <a:pt x="184" y="69"/>
                  <a:pt x="184" y="69"/>
                </a:cubicBezTo>
                <a:lnTo>
                  <a:pt x="172" y="54"/>
                </a:lnTo>
                <a:lnTo>
                  <a:pt x="178" y="33"/>
                </a:lnTo>
                <a:cubicBezTo>
                  <a:pt x="195" y="23"/>
                  <a:pt x="213" y="0"/>
                  <a:pt x="213" y="0"/>
                </a:cubicBezTo>
                <a:close/>
              </a:path>
            </a:pathLst>
          </a:custGeom>
          <a:noFill/>
          <a:ln w="15875" cap="flat" cmpd="sng">
            <a:solidFill>
              <a:srgbClr val="CC000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0946" name="Freeform 1770">
            <a:extLst>
              <a:ext uri="{FF2B5EF4-FFF2-40B4-BE49-F238E27FC236}">
                <a16:creationId xmlns:a16="http://schemas.microsoft.com/office/drawing/2014/main" id="{00000000-0008-0000-0800-0000F2100300}"/>
              </a:ext>
            </a:extLst>
          </xdr:cNvPr>
          <xdr:cNvSpPr>
            <a:spLocks/>
          </xdr:cNvSpPr>
        </xdr:nvSpPr>
        <xdr:spPr bwMode="auto">
          <a:xfrm>
            <a:off x="3096" y="1350"/>
            <a:ext cx="645" cy="750"/>
          </a:xfrm>
          <a:custGeom>
            <a:avLst/>
            <a:gdLst>
              <a:gd name="T0" fmla="*/ 3 w 645"/>
              <a:gd name="T1" fmla="*/ 0 h 750"/>
              <a:gd name="T2" fmla="*/ 255 w 645"/>
              <a:gd name="T3" fmla="*/ 3 h 750"/>
              <a:gd name="T4" fmla="*/ 254 w 645"/>
              <a:gd name="T5" fmla="*/ 41 h 750"/>
              <a:gd name="T6" fmla="*/ 389 w 645"/>
              <a:gd name="T7" fmla="*/ 44 h 750"/>
              <a:gd name="T8" fmla="*/ 390 w 645"/>
              <a:gd name="T9" fmla="*/ 126 h 750"/>
              <a:gd name="T10" fmla="*/ 642 w 645"/>
              <a:gd name="T11" fmla="*/ 126 h 750"/>
              <a:gd name="T12" fmla="*/ 645 w 645"/>
              <a:gd name="T13" fmla="*/ 723 h 750"/>
              <a:gd name="T14" fmla="*/ 618 w 645"/>
              <a:gd name="T15" fmla="*/ 750 h 750"/>
              <a:gd name="T16" fmla="*/ 489 w 645"/>
              <a:gd name="T17" fmla="*/ 747 h 750"/>
              <a:gd name="T18" fmla="*/ 489 w 645"/>
              <a:gd name="T19" fmla="*/ 723 h 750"/>
              <a:gd name="T20" fmla="*/ 444 w 645"/>
              <a:gd name="T21" fmla="*/ 723 h 750"/>
              <a:gd name="T22" fmla="*/ 279 w 645"/>
              <a:gd name="T23" fmla="*/ 387 h 750"/>
              <a:gd name="T24" fmla="*/ 246 w 645"/>
              <a:gd name="T25" fmla="*/ 393 h 750"/>
              <a:gd name="T26" fmla="*/ 50 w 645"/>
              <a:gd name="T27" fmla="*/ 395 h 750"/>
              <a:gd name="T28" fmla="*/ 42 w 645"/>
              <a:gd name="T29" fmla="*/ 365 h 750"/>
              <a:gd name="T30" fmla="*/ 36 w 645"/>
              <a:gd name="T31" fmla="*/ 333 h 750"/>
              <a:gd name="T32" fmla="*/ 42 w 645"/>
              <a:gd name="T33" fmla="*/ 300 h 750"/>
              <a:gd name="T34" fmla="*/ 54 w 645"/>
              <a:gd name="T35" fmla="*/ 264 h 750"/>
              <a:gd name="T36" fmla="*/ 59 w 645"/>
              <a:gd name="T37" fmla="*/ 237 h 750"/>
              <a:gd name="T38" fmla="*/ 51 w 645"/>
              <a:gd name="T39" fmla="*/ 198 h 750"/>
              <a:gd name="T40" fmla="*/ 21 w 645"/>
              <a:gd name="T41" fmla="*/ 99 h 750"/>
              <a:gd name="T42" fmla="*/ 12 w 645"/>
              <a:gd name="T43" fmla="*/ 75 h 750"/>
              <a:gd name="T44" fmla="*/ 12 w 645"/>
              <a:gd name="T45" fmla="*/ 54 h 750"/>
              <a:gd name="T46" fmla="*/ 0 w 645"/>
              <a:gd name="T47" fmla="*/ 30 h 750"/>
              <a:gd name="T48" fmla="*/ 3 w 645"/>
              <a:gd name="T49" fmla="*/ 0 h 750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w 645"/>
              <a:gd name="T76" fmla="*/ 0 h 750"/>
              <a:gd name="T77" fmla="*/ 645 w 645"/>
              <a:gd name="T78" fmla="*/ 750 h 750"/>
            </a:gdLst>
            <a:ahLst/>
            <a:cxnLst>
              <a:cxn ang="T50">
                <a:pos x="T0" y="T1"/>
              </a:cxn>
              <a:cxn ang="T51">
                <a:pos x="T2" y="T3"/>
              </a:cxn>
              <a:cxn ang="T52">
                <a:pos x="T4" y="T5"/>
              </a:cxn>
              <a:cxn ang="T53">
                <a:pos x="T6" y="T7"/>
              </a:cxn>
              <a:cxn ang="T54">
                <a:pos x="T8" y="T9"/>
              </a:cxn>
              <a:cxn ang="T55">
                <a:pos x="T10" y="T11"/>
              </a:cxn>
              <a:cxn ang="T56">
                <a:pos x="T12" y="T13"/>
              </a:cxn>
              <a:cxn ang="T57">
                <a:pos x="T14" y="T15"/>
              </a:cxn>
              <a:cxn ang="T58">
                <a:pos x="T16" y="T17"/>
              </a:cxn>
              <a:cxn ang="T59">
                <a:pos x="T18" y="T19"/>
              </a:cxn>
              <a:cxn ang="T60">
                <a:pos x="T20" y="T21"/>
              </a:cxn>
              <a:cxn ang="T61">
                <a:pos x="T22" y="T23"/>
              </a:cxn>
              <a:cxn ang="T62">
                <a:pos x="T24" y="T25"/>
              </a:cxn>
              <a:cxn ang="T63">
                <a:pos x="T26" y="T27"/>
              </a:cxn>
              <a:cxn ang="T64">
                <a:pos x="T28" y="T29"/>
              </a:cxn>
              <a:cxn ang="T65">
                <a:pos x="T30" y="T31"/>
              </a:cxn>
              <a:cxn ang="T66">
                <a:pos x="T32" y="T33"/>
              </a:cxn>
              <a:cxn ang="T67">
                <a:pos x="T34" y="T35"/>
              </a:cxn>
              <a:cxn ang="T68">
                <a:pos x="T36" y="T37"/>
              </a:cxn>
              <a:cxn ang="T69">
                <a:pos x="T38" y="T39"/>
              </a:cxn>
              <a:cxn ang="T70">
                <a:pos x="T40" y="T41"/>
              </a:cxn>
              <a:cxn ang="T71">
                <a:pos x="T42" y="T43"/>
              </a:cxn>
              <a:cxn ang="T72">
                <a:pos x="T44" y="T45"/>
              </a:cxn>
              <a:cxn ang="T73">
                <a:pos x="T46" y="T47"/>
              </a:cxn>
              <a:cxn ang="T74">
                <a:pos x="T48" y="T49"/>
              </a:cxn>
            </a:cxnLst>
            <a:rect l="T75" t="T76" r="T77" b="T78"/>
            <a:pathLst>
              <a:path w="645" h="750">
                <a:moveTo>
                  <a:pt x="3" y="0"/>
                </a:moveTo>
                <a:lnTo>
                  <a:pt x="255" y="3"/>
                </a:lnTo>
                <a:lnTo>
                  <a:pt x="254" y="41"/>
                </a:lnTo>
                <a:lnTo>
                  <a:pt x="389" y="44"/>
                </a:lnTo>
                <a:lnTo>
                  <a:pt x="390" y="126"/>
                </a:lnTo>
                <a:lnTo>
                  <a:pt x="642" y="126"/>
                </a:lnTo>
                <a:lnTo>
                  <a:pt x="645" y="723"/>
                </a:lnTo>
                <a:lnTo>
                  <a:pt x="618" y="750"/>
                </a:lnTo>
                <a:lnTo>
                  <a:pt x="489" y="747"/>
                </a:lnTo>
                <a:lnTo>
                  <a:pt x="489" y="723"/>
                </a:lnTo>
                <a:lnTo>
                  <a:pt x="444" y="723"/>
                </a:lnTo>
                <a:cubicBezTo>
                  <a:pt x="276" y="377"/>
                  <a:pt x="312" y="442"/>
                  <a:pt x="279" y="387"/>
                </a:cubicBezTo>
                <a:lnTo>
                  <a:pt x="246" y="393"/>
                </a:lnTo>
                <a:lnTo>
                  <a:pt x="50" y="395"/>
                </a:lnTo>
                <a:lnTo>
                  <a:pt x="42" y="365"/>
                </a:lnTo>
                <a:lnTo>
                  <a:pt x="36" y="333"/>
                </a:lnTo>
                <a:lnTo>
                  <a:pt x="42" y="300"/>
                </a:lnTo>
                <a:lnTo>
                  <a:pt x="54" y="264"/>
                </a:lnTo>
                <a:lnTo>
                  <a:pt x="59" y="237"/>
                </a:lnTo>
                <a:lnTo>
                  <a:pt x="51" y="198"/>
                </a:lnTo>
                <a:lnTo>
                  <a:pt x="21" y="99"/>
                </a:lnTo>
                <a:lnTo>
                  <a:pt x="12" y="75"/>
                </a:lnTo>
                <a:lnTo>
                  <a:pt x="12" y="54"/>
                </a:lnTo>
                <a:lnTo>
                  <a:pt x="0" y="30"/>
                </a:lnTo>
                <a:lnTo>
                  <a:pt x="3" y="0"/>
                </a:lnTo>
                <a:close/>
              </a:path>
            </a:pathLst>
          </a:custGeom>
          <a:noFill/>
          <a:ln w="15875" cap="flat" cmpd="sng">
            <a:solidFill>
              <a:srgbClr val="CC000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0947" name="Freeform 1771">
            <a:extLst>
              <a:ext uri="{FF2B5EF4-FFF2-40B4-BE49-F238E27FC236}">
                <a16:creationId xmlns:a16="http://schemas.microsoft.com/office/drawing/2014/main" id="{00000000-0008-0000-0800-0000F3100300}"/>
              </a:ext>
            </a:extLst>
          </xdr:cNvPr>
          <xdr:cNvSpPr>
            <a:spLocks/>
          </xdr:cNvSpPr>
        </xdr:nvSpPr>
        <xdr:spPr bwMode="auto">
          <a:xfrm>
            <a:off x="3285" y="1784"/>
            <a:ext cx="663" cy="1027"/>
          </a:xfrm>
          <a:custGeom>
            <a:avLst/>
            <a:gdLst>
              <a:gd name="T0" fmla="*/ 657 w 663"/>
              <a:gd name="T1" fmla="*/ 4 h 1027"/>
              <a:gd name="T2" fmla="*/ 663 w 663"/>
              <a:gd name="T3" fmla="*/ 709 h 1027"/>
              <a:gd name="T4" fmla="*/ 519 w 663"/>
              <a:gd name="T5" fmla="*/ 709 h 1027"/>
              <a:gd name="T6" fmla="*/ 516 w 663"/>
              <a:gd name="T7" fmla="*/ 787 h 1027"/>
              <a:gd name="T8" fmla="*/ 453 w 663"/>
              <a:gd name="T9" fmla="*/ 787 h 1027"/>
              <a:gd name="T10" fmla="*/ 453 w 663"/>
              <a:gd name="T11" fmla="*/ 862 h 1027"/>
              <a:gd name="T12" fmla="*/ 390 w 663"/>
              <a:gd name="T13" fmla="*/ 862 h 1027"/>
              <a:gd name="T14" fmla="*/ 387 w 663"/>
              <a:gd name="T15" fmla="*/ 946 h 1027"/>
              <a:gd name="T16" fmla="*/ 264 w 663"/>
              <a:gd name="T17" fmla="*/ 949 h 1027"/>
              <a:gd name="T18" fmla="*/ 264 w 663"/>
              <a:gd name="T19" fmla="*/ 1027 h 1027"/>
              <a:gd name="T20" fmla="*/ 191 w 663"/>
              <a:gd name="T21" fmla="*/ 1026 h 1027"/>
              <a:gd name="T22" fmla="*/ 2 w 663"/>
              <a:gd name="T23" fmla="*/ 1027 h 1027"/>
              <a:gd name="T24" fmla="*/ 0 w 663"/>
              <a:gd name="T25" fmla="*/ 532 h 1027"/>
              <a:gd name="T26" fmla="*/ 66 w 663"/>
              <a:gd name="T27" fmla="*/ 502 h 1027"/>
              <a:gd name="T28" fmla="*/ 105 w 663"/>
              <a:gd name="T29" fmla="*/ 478 h 1027"/>
              <a:gd name="T30" fmla="*/ 159 w 663"/>
              <a:gd name="T31" fmla="*/ 436 h 1027"/>
              <a:gd name="T32" fmla="*/ 174 w 663"/>
              <a:gd name="T33" fmla="*/ 454 h 1027"/>
              <a:gd name="T34" fmla="*/ 303 w 663"/>
              <a:gd name="T35" fmla="*/ 451 h 1027"/>
              <a:gd name="T36" fmla="*/ 306 w 663"/>
              <a:gd name="T37" fmla="*/ 316 h 1027"/>
              <a:gd name="T38" fmla="*/ 429 w 663"/>
              <a:gd name="T39" fmla="*/ 316 h 1027"/>
              <a:gd name="T40" fmla="*/ 453 w 663"/>
              <a:gd name="T41" fmla="*/ 295 h 1027"/>
              <a:gd name="T42" fmla="*/ 455 w 663"/>
              <a:gd name="T43" fmla="*/ 0 h 1027"/>
              <a:gd name="T44" fmla="*/ 657 w 663"/>
              <a:gd name="T45" fmla="*/ 4 h 1027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w 663"/>
              <a:gd name="T70" fmla="*/ 0 h 1027"/>
              <a:gd name="T71" fmla="*/ 663 w 663"/>
              <a:gd name="T72" fmla="*/ 1027 h 1027"/>
            </a:gdLst>
            <a:ahLst/>
            <a:cxnLst>
              <a:cxn ang="T46">
                <a:pos x="T0" y="T1"/>
              </a:cxn>
              <a:cxn ang="T47">
                <a:pos x="T2" y="T3"/>
              </a:cxn>
              <a:cxn ang="T48">
                <a:pos x="T4" y="T5"/>
              </a:cxn>
              <a:cxn ang="T49">
                <a:pos x="T6" y="T7"/>
              </a:cxn>
              <a:cxn ang="T50">
                <a:pos x="T8" y="T9"/>
              </a:cxn>
              <a:cxn ang="T51">
                <a:pos x="T10" y="T11"/>
              </a:cxn>
              <a:cxn ang="T52">
                <a:pos x="T12" y="T13"/>
              </a:cxn>
              <a:cxn ang="T53">
                <a:pos x="T14" y="T15"/>
              </a:cxn>
              <a:cxn ang="T54">
                <a:pos x="T16" y="T17"/>
              </a:cxn>
              <a:cxn ang="T55">
                <a:pos x="T18" y="T19"/>
              </a:cxn>
              <a:cxn ang="T56">
                <a:pos x="T20" y="T21"/>
              </a:cxn>
              <a:cxn ang="T57">
                <a:pos x="T22" y="T23"/>
              </a:cxn>
              <a:cxn ang="T58">
                <a:pos x="T24" y="T25"/>
              </a:cxn>
              <a:cxn ang="T59">
                <a:pos x="T26" y="T27"/>
              </a:cxn>
              <a:cxn ang="T60">
                <a:pos x="T28" y="T29"/>
              </a:cxn>
              <a:cxn ang="T61">
                <a:pos x="T30" y="T31"/>
              </a:cxn>
              <a:cxn ang="T62">
                <a:pos x="T32" y="T33"/>
              </a:cxn>
              <a:cxn ang="T63">
                <a:pos x="T34" y="T35"/>
              </a:cxn>
              <a:cxn ang="T64">
                <a:pos x="T36" y="T37"/>
              </a:cxn>
              <a:cxn ang="T65">
                <a:pos x="T38" y="T39"/>
              </a:cxn>
              <a:cxn ang="T66">
                <a:pos x="T40" y="T41"/>
              </a:cxn>
              <a:cxn ang="T67">
                <a:pos x="T42" y="T43"/>
              </a:cxn>
              <a:cxn ang="T68">
                <a:pos x="T44" y="T45"/>
              </a:cxn>
            </a:cxnLst>
            <a:rect l="T69" t="T70" r="T71" b="T72"/>
            <a:pathLst>
              <a:path w="663" h="1027">
                <a:moveTo>
                  <a:pt x="657" y="4"/>
                </a:moveTo>
                <a:lnTo>
                  <a:pt x="663" y="709"/>
                </a:lnTo>
                <a:lnTo>
                  <a:pt x="519" y="709"/>
                </a:lnTo>
                <a:lnTo>
                  <a:pt x="516" y="787"/>
                </a:lnTo>
                <a:lnTo>
                  <a:pt x="453" y="787"/>
                </a:lnTo>
                <a:lnTo>
                  <a:pt x="453" y="862"/>
                </a:lnTo>
                <a:lnTo>
                  <a:pt x="390" y="862"/>
                </a:lnTo>
                <a:lnTo>
                  <a:pt x="387" y="946"/>
                </a:lnTo>
                <a:lnTo>
                  <a:pt x="264" y="949"/>
                </a:lnTo>
                <a:lnTo>
                  <a:pt x="264" y="1027"/>
                </a:lnTo>
                <a:lnTo>
                  <a:pt x="191" y="1026"/>
                </a:lnTo>
                <a:lnTo>
                  <a:pt x="2" y="1027"/>
                </a:lnTo>
                <a:lnTo>
                  <a:pt x="0" y="532"/>
                </a:lnTo>
                <a:lnTo>
                  <a:pt x="66" y="502"/>
                </a:lnTo>
                <a:lnTo>
                  <a:pt x="105" y="478"/>
                </a:lnTo>
                <a:lnTo>
                  <a:pt x="159" y="436"/>
                </a:lnTo>
                <a:lnTo>
                  <a:pt x="174" y="454"/>
                </a:lnTo>
                <a:lnTo>
                  <a:pt x="303" y="451"/>
                </a:lnTo>
                <a:lnTo>
                  <a:pt x="306" y="316"/>
                </a:lnTo>
                <a:lnTo>
                  <a:pt x="429" y="316"/>
                </a:lnTo>
                <a:lnTo>
                  <a:pt x="453" y="295"/>
                </a:lnTo>
                <a:lnTo>
                  <a:pt x="455" y="0"/>
                </a:lnTo>
                <a:lnTo>
                  <a:pt x="657" y="4"/>
                </a:lnTo>
                <a:close/>
              </a:path>
            </a:pathLst>
          </a:custGeom>
          <a:noFill/>
          <a:ln w="15875" cap="flat" cmpd="sng">
            <a:solidFill>
              <a:srgbClr val="CC000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0948" name="Freeform 1772">
            <a:extLst>
              <a:ext uri="{FF2B5EF4-FFF2-40B4-BE49-F238E27FC236}">
                <a16:creationId xmlns:a16="http://schemas.microsoft.com/office/drawing/2014/main" id="{00000000-0008-0000-0800-0000F4100300}"/>
              </a:ext>
            </a:extLst>
          </xdr:cNvPr>
          <xdr:cNvSpPr>
            <a:spLocks/>
          </xdr:cNvSpPr>
        </xdr:nvSpPr>
        <xdr:spPr bwMode="auto">
          <a:xfrm>
            <a:off x="2537" y="642"/>
            <a:ext cx="817" cy="708"/>
          </a:xfrm>
          <a:custGeom>
            <a:avLst/>
            <a:gdLst>
              <a:gd name="T0" fmla="*/ 85 w 817"/>
              <a:gd name="T1" fmla="*/ 0 h 708"/>
              <a:gd name="T2" fmla="*/ 817 w 817"/>
              <a:gd name="T3" fmla="*/ 3 h 708"/>
              <a:gd name="T4" fmla="*/ 811 w 817"/>
              <a:gd name="T5" fmla="*/ 708 h 708"/>
              <a:gd name="T6" fmla="*/ 301 w 817"/>
              <a:gd name="T7" fmla="*/ 705 h 708"/>
              <a:gd name="T8" fmla="*/ 301 w 817"/>
              <a:gd name="T9" fmla="*/ 666 h 708"/>
              <a:gd name="T10" fmla="*/ 0 w 817"/>
              <a:gd name="T11" fmla="*/ 669 h 708"/>
              <a:gd name="T12" fmla="*/ 22 w 817"/>
              <a:gd name="T13" fmla="*/ 636 h 708"/>
              <a:gd name="T14" fmla="*/ 22 w 817"/>
              <a:gd name="T15" fmla="*/ 612 h 708"/>
              <a:gd name="T16" fmla="*/ 25 w 817"/>
              <a:gd name="T17" fmla="*/ 522 h 708"/>
              <a:gd name="T18" fmla="*/ 13 w 817"/>
              <a:gd name="T19" fmla="*/ 504 h 708"/>
              <a:gd name="T20" fmla="*/ 19 w 817"/>
              <a:gd name="T21" fmla="*/ 480 h 708"/>
              <a:gd name="T22" fmla="*/ 28 w 817"/>
              <a:gd name="T23" fmla="*/ 441 h 708"/>
              <a:gd name="T24" fmla="*/ 13 w 817"/>
              <a:gd name="T25" fmla="*/ 417 h 708"/>
              <a:gd name="T26" fmla="*/ 13 w 817"/>
              <a:gd name="T27" fmla="*/ 369 h 708"/>
              <a:gd name="T28" fmla="*/ 7 w 817"/>
              <a:gd name="T29" fmla="*/ 279 h 708"/>
              <a:gd name="T30" fmla="*/ 49 w 817"/>
              <a:gd name="T31" fmla="*/ 246 h 708"/>
              <a:gd name="T32" fmla="*/ 79 w 817"/>
              <a:gd name="T33" fmla="*/ 252 h 708"/>
              <a:gd name="T34" fmla="*/ 88 w 817"/>
              <a:gd name="T35" fmla="*/ 225 h 708"/>
              <a:gd name="T36" fmla="*/ 91 w 817"/>
              <a:gd name="T37" fmla="*/ 141 h 708"/>
              <a:gd name="T38" fmla="*/ 91 w 817"/>
              <a:gd name="T39" fmla="*/ 108 h 708"/>
              <a:gd name="T40" fmla="*/ 103 w 817"/>
              <a:gd name="T41" fmla="*/ 75 h 708"/>
              <a:gd name="T42" fmla="*/ 94 w 817"/>
              <a:gd name="T43" fmla="*/ 57 h 708"/>
              <a:gd name="T44" fmla="*/ 82 w 817"/>
              <a:gd name="T45" fmla="*/ 36 h 708"/>
              <a:gd name="T46" fmla="*/ 85 w 817"/>
              <a:gd name="T47" fmla="*/ 0 h 708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w 817"/>
              <a:gd name="T73" fmla="*/ 0 h 708"/>
              <a:gd name="T74" fmla="*/ 817 w 817"/>
              <a:gd name="T75" fmla="*/ 708 h 708"/>
            </a:gdLst>
            <a:ahLst/>
            <a:cxnLst>
              <a:cxn ang="T48">
                <a:pos x="T0" y="T1"/>
              </a:cxn>
              <a:cxn ang="T49">
                <a:pos x="T2" y="T3"/>
              </a:cxn>
              <a:cxn ang="T50">
                <a:pos x="T4" y="T5"/>
              </a:cxn>
              <a:cxn ang="T51">
                <a:pos x="T6" y="T7"/>
              </a:cxn>
              <a:cxn ang="T52">
                <a:pos x="T8" y="T9"/>
              </a:cxn>
              <a:cxn ang="T53">
                <a:pos x="T10" y="T11"/>
              </a:cxn>
              <a:cxn ang="T54">
                <a:pos x="T12" y="T13"/>
              </a:cxn>
              <a:cxn ang="T55">
                <a:pos x="T14" y="T15"/>
              </a:cxn>
              <a:cxn ang="T56">
                <a:pos x="T16" y="T17"/>
              </a:cxn>
              <a:cxn ang="T57">
                <a:pos x="T18" y="T19"/>
              </a:cxn>
              <a:cxn ang="T58">
                <a:pos x="T20" y="T21"/>
              </a:cxn>
              <a:cxn ang="T59">
                <a:pos x="T22" y="T23"/>
              </a:cxn>
              <a:cxn ang="T60">
                <a:pos x="T24" y="T25"/>
              </a:cxn>
              <a:cxn ang="T61">
                <a:pos x="T26" y="T27"/>
              </a:cxn>
              <a:cxn ang="T62">
                <a:pos x="T28" y="T29"/>
              </a:cxn>
              <a:cxn ang="T63">
                <a:pos x="T30" y="T31"/>
              </a:cxn>
              <a:cxn ang="T64">
                <a:pos x="T32" y="T33"/>
              </a:cxn>
              <a:cxn ang="T65">
                <a:pos x="T34" y="T35"/>
              </a:cxn>
              <a:cxn ang="T66">
                <a:pos x="T36" y="T37"/>
              </a:cxn>
              <a:cxn ang="T67">
                <a:pos x="T38" y="T39"/>
              </a:cxn>
              <a:cxn ang="T68">
                <a:pos x="T40" y="T41"/>
              </a:cxn>
              <a:cxn ang="T69">
                <a:pos x="T42" y="T43"/>
              </a:cxn>
              <a:cxn ang="T70">
                <a:pos x="T44" y="T45"/>
              </a:cxn>
              <a:cxn ang="T71">
                <a:pos x="T46" y="T47"/>
              </a:cxn>
            </a:cxnLst>
            <a:rect l="T72" t="T73" r="T74" b="T75"/>
            <a:pathLst>
              <a:path w="817" h="708">
                <a:moveTo>
                  <a:pt x="85" y="0"/>
                </a:moveTo>
                <a:lnTo>
                  <a:pt x="817" y="3"/>
                </a:lnTo>
                <a:lnTo>
                  <a:pt x="811" y="708"/>
                </a:lnTo>
                <a:lnTo>
                  <a:pt x="301" y="705"/>
                </a:lnTo>
                <a:lnTo>
                  <a:pt x="301" y="666"/>
                </a:lnTo>
                <a:lnTo>
                  <a:pt x="0" y="669"/>
                </a:lnTo>
                <a:lnTo>
                  <a:pt x="22" y="636"/>
                </a:lnTo>
                <a:lnTo>
                  <a:pt x="22" y="612"/>
                </a:lnTo>
                <a:lnTo>
                  <a:pt x="25" y="522"/>
                </a:lnTo>
                <a:lnTo>
                  <a:pt x="13" y="504"/>
                </a:lnTo>
                <a:lnTo>
                  <a:pt x="19" y="480"/>
                </a:lnTo>
                <a:lnTo>
                  <a:pt x="28" y="441"/>
                </a:lnTo>
                <a:lnTo>
                  <a:pt x="13" y="417"/>
                </a:lnTo>
                <a:lnTo>
                  <a:pt x="13" y="369"/>
                </a:lnTo>
                <a:lnTo>
                  <a:pt x="7" y="279"/>
                </a:lnTo>
                <a:lnTo>
                  <a:pt x="49" y="246"/>
                </a:lnTo>
                <a:lnTo>
                  <a:pt x="79" y="252"/>
                </a:lnTo>
                <a:lnTo>
                  <a:pt x="88" y="225"/>
                </a:lnTo>
                <a:lnTo>
                  <a:pt x="91" y="141"/>
                </a:lnTo>
                <a:lnTo>
                  <a:pt x="91" y="108"/>
                </a:lnTo>
                <a:lnTo>
                  <a:pt x="103" y="75"/>
                </a:lnTo>
                <a:lnTo>
                  <a:pt x="94" y="57"/>
                </a:lnTo>
                <a:lnTo>
                  <a:pt x="82" y="36"/>
                </a:lnTo>
                <a:lnTo>
                  <a:pt x="85" y="0"/>
                </a:lnTo>
                <a:close/>
              </a:path>
            </a:pathLst>
          </a:custGeom>
          <a:noFill/>
          <a:ln w="15875" cap="flat" cmpd="sng">
            <a:solidFill>
              <a:srgbClr val="CC000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0949" name="Freeform 1773">
            <a:extLst>
              <a:ext uri="{FF2B5EF4-FFF2-40B4-BE49-F238E27FC236}">
                <a16:creationId xmlns:a16="http://schemas.microsoft.com/office/drawing/2014/main" id="{00000000-0008-0000-0800-0000F5100300}"/>
              </a:ext>
            </a:extLst>
          </xdr:cNvPr>
          <xdr:cNvSpPr>
            <a:spLocks/>
          </xdr:cNvSpPr>
        </xdr:nvSpPr>
        <xdr:spPr bwMode="auto">
          <a:xfrm>
            <a:off x="3159" y="4866"/>
            <a:ext cx="384" cy="69"/>
          </a:xfrm>
          <a:custGeom>
            <a:avLst/>
            <a:gdLst>
              <a:gd name="T0" fmla="*/ 380 w 384"/>
              <a:gd name="T1" fmla="*/ 0 h 69"/>
              <a:gd name="T2" fmla="*/ 93 w 384"/>
              <a:gd name="T3" fmla="*/ 0 h 69"/>
              <a:gd name="T4" fmla="*/ 93 w 384"/>
              <a:gd name="T5" fmla="*/ 32 h 69"/>
              <a:gd name="T6" fmla="*/ 0 w 384"/>
              <a:gd name="T7" fmla="*/ 32 h 69"/>
              <a:gd name="T8" fmla="*/ 0 w 384"/>
              <a:gd name="T9" fmla="*/ 69 h 69"/>
              <a:gd name="T10" fmla="*/ 384 w 384"/>
              <a:gd name="T11" fmla="*/ 69 h 69"/>
              <a:gd name="T12" fmla="*/ 0 60000 65536"/>
              <a:gd name="T13" fmla="*/ 0 60000 65536"/>
              <a:gd name="T14" fmla="*/ 0 60000 65536"/>
              <a:gd name="T15" fmla="*/ 0 60000 65536"/>
              <a:gd name="T16" fmla="*/ 0 60000 65536"/>
              <a:gd name="T17" fmla="*/ 0 60000 65536"/>
              <a:gd name="T18" fmla="*/ 0 w 384"/>
              <a:gd name="T19" fmla="*/ 0 h 69"/>
              <a:gd name="T20" fmla="*/ 384 w 384"/>
              <a:gd name="T21" fmla="*/ 69 h 69"/>
            </a:gdLst>
            <a:ahLst/>
            <a:cxnLst>
              <a:cxn ang="T12">
                <a:pos x="T0" y="T1"/>
              </a:cxn>
              <a:cxn ang="T13">
                <a:pos x="T2" y="T3"/>
              </a:cxn>
              <a:cxn ang="T14">
                <a:pos x="T4" y="T5"/>
              </a:cxn>
              <a:cxn ang="T15">
                <a:pos x="T6" y="T7"/>
              </a:cxn>
              <a:cxn ang="T16">
                <a:pos x="T8" y="T9"/>
              </a:cxn>
              <a:cxn ang="T17">
                <a:pos x="T10" y="T11"/>
              </a:cxn>
            </a:cxnLst>
            <a:rect l="T18" t="T19" r="T20" b="T21"/>
            <a:pathLst>
              <a:path w="384" h="69">
                <a:moveTo>
                  <a:pt x="380" y="0"/>
                </a:moveTo>
                <a:lnTo>
                  <a:pt x="93" y="0"/>
                </a:lnTo>
                <a:lnTo>
                  <a:pt x="93" y="32"/>
                </a:lnTo>
                <a:lnTo>
                  <a:pt x="0" y="32"/>
                </a:lnTo>
                <a:lnTo>
                  <a:pt x="0" y="69"/>
                </a:lnTo>
                <a:lnTo>
                  <a:pt x="384" y="69"/>
                </a:lnTo>
              </a:path>
            </a:pathLst>
          </a:custGeom>
          <a:noFill/>
          <a:ln w="9525" cap="flat" cmpd="sng">
            <a:solidFill>
              <a:srgbClr val="333399"/>
            </a:solidFill>
            <a:prstDash val="sysDot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8398" name="Text Box 1774">
            <a:extLst>
              <a:ext uri="{FF2B5EF4-FFF2-40B4-BE49-F238E27FC236}">
                <a16:creationId xmlns:a16="http://schemas.microsoft.com/office/drawing/2014/main" id="{00000000-0008-0000-0800-0000EE6E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681" y="671"/>
            <a:ext cx="283" cy="1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n-US" sz="7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 </a:t>
            </a:r>
            <a:r>
              <a:rPr lang="en-US" sz="6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Chama</a:t>
            </a: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399" name="Text Box 1775">
            <a:extLst>
              <a:ext uri="{FF2B5EF4-FFF2-40B4-BE49-F238E27FC236}">
                <a16:creationId xmlns:a16="http://schemas.microsoft.com/office/drawing/2014/main" id="{00000000-0008-0000-0800-0000EF6E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158" y="902"/>
            <a:ext cx="194" cy="13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6</a:t>
            </a:r>
            <a:endPara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400" name="Text Box 1776">
            <a:extLst>
              <a:ext uri="{FF2B5EF4-FFF2-40B4-BE49-F238E27FC236}">
                <a16:creationId xmlns:a16="http://schemas.microsoft.com/office/drawing/2014/main" id="{00000000-0008-0000-0800-0000F06E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518" y="641"/>
            <a:ext cx="194" cy="13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n-US" sz="8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9</a:t>
            </a:r>
            <a:endPara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401" name="Text Box 1777">
            <a:extLst>
              <a:ext uri="{FF2B5EF4-FFF2-40B4-BE49-F238E27FC236}">
                <a16:creationId xmlns:a16="http://schemas.microsoft.com/office/drawing/2014/main" id="{00000000-0008-0000-0800-0000F16E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688" y="932"/>
            <a:ext cx="153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3-A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402" name="Text Box 1778">
            <a:extLst>
              <a:ext uri="{FF2B5EF4-FFF2-40B4-BE49-F238E27FC236}">
                <a16:creationId xmlns:a16="http://schemas.microsoft.com/office/drawing/2014/main" id="{00000000-0008-0000-0800-0000F26E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264" y="1193"/>
            <a:ext cx="230" cy="1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1-A</a:t>
            </a:r>
            <a:endPara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403" name="Text Box 1779">
            <a:extLst>
              <a:ext uri="{FF2B5EF4-FFF2-40B4-BE49-F238E27FC236}">
                <a16:creationId xmlns:a16="http://schemas.microsoft.com/office/drawing/2014/main" id="{00000000-0008-0000-0800-0000F36E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323" y="1365"/>
            <a:ext cx="236" cy="1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4</a:t>
            </a:r>
            <a:endPara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404" name="Text Box 1780">
            <a:extLst>
              <a:ext uri="{FF2B5EF4-FFF2-40B4-BE49-F238E27FC236}">
                <a16:creationId xmlns:a16="http://schemas.microsoft.com/office/drawing/2014/main" id="{00000000-0008-0000-0800-0000F46E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441" y="1146"/>
            <a:ext cx="236" cy="1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1</a:t>
            </a:r>
            <a:endPara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405" name="Text Box 1781">
            <a:extLst>
              <a:ext uri="{FF2B5EF4-FFF2-40B4-BE49-F238E27FC236}">
                <a16:creationId xmlns:a16="http://schemas.microsoft.com/office/drawing/2014/main" id="{00000000-0008-0000-0800-0000F56E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565" y="944"/>
            <a:ext cx="112" cy="5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6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Taos</a:t>
            </a:r>
            <a:endParaRPr lang="en-US" sz="7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7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406" name="Text Box 1782">
            <a:extLst>
              <a:ext uri="{FF2B5EF4-FFF2-40B4-BE49-F238E27FC236}">
                <a16:creationId xmlns:a16="http://schemas.microsoft.com/office/drawing/2014/main" id="{00000000-0008-0000-0800-0000F66E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565" y="991"/>
            <a:ext cx="259" cy="5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6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Ski</a:t>
            </a:r>
            <a:endParaRPr lang="en-US" sz="7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7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407" name="Text Box 1783">
            <a:extLst>
              <a:ext uri="{FF2B5EF4-FFF2-40B4-BE49-F238E27FC236}">
                <a16:creationId xmlns:a16="http://schemas.microsoft.com/office/drawing/2014/main" id="{00000000-0008-0000-0800-0000F76E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571" y="1057"/>
            <a:ext cx="259" cy="5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6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Valley</a:t>
            </a:r>
            <a:endParaRPr lang="en-US" sz="7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7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00960" name="Line 1784">
            <a:extLst>
              <a:ext uri="{FF2B5EF4-FFF2-40B4-BE49-F238E27FC236}">
                <a16:creationId xmlns:a16="http://schemas.microsoft.com/office/drawing/2014/main" id="{00000000-0008-0000-0800-000000110300}"/>
              </a:ext>
            </a:extLst>
          </xdr:cNvPr>
          <xdr:cNvSpPr>
            <a:spLocks noChangeShapeType="1"/>
          </xdr:cNvSpPr>
        </xdr:nvSpPr>
        <xdr:spPr bwMode="auto">
          <a:xfrm flipH="1">
            <a:off x="2454" y="1008"/>
            <a:ext cx="103" cy="87"/>
          </a:xfrm>
          <a:prstGeom prst="line">
            <a:avLst/>
          </a:prstGeom>
          <a:noFill/>
          <a:ln w="3175">
            <a:solidFill>
              <a:srgbClr val="000000"/>
            </a:solidFill>
            <a:round/>
            <a:headEnd/>
            <a:tailEnd type="triangl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8409" name="Text Box 1785">
            <a:extLst>
              <a:ext uri="{FF2B5EF4-FFF2-40B4-BE49-F238E27FC236}">
                <a16:creationId xmlns:a16="http://schemas.microsoft.com/office/drawing/2014/main" id="{00000000-0008-0000-0800-0000F96E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364" y="926"/>
            <a:ext cx="171" cy="5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6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Questa</a:t>
            </a:r>
            <a:endParaRPr lang="en-US" sz="7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7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410" name="Text Box 1786">
            <a:extLst>
              <a:ext uri="{FF2B5EF4-FFF2-40B4-BE49-F238E27FC236}">
                <a16:creationId xmlns:a16="http://schemas.microsoft.com/office/drawing/2014/main" id="{00000000-0008-0000-0800-0000FA6E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353" y="873"/>
            <a:ext cx="277" cy="5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6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Red River</a:t>
            </a:r>
            <a:endParaRPr lang="en-US" sz="7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7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411" name="Text Box 1787">
            <a:extLst>
              <a:ext uri="{FF2B5EF4-FFF2-40B4-BE49-F238E27FC236}">
                <a16:creationId xmlns:a16="http://schemas.microsoft.com/office/drawing/2014/main" id="{00000000-0008-0000-0800-0000FB6E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571" y="1146"/>
            <a:ext cx="259" cy="5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6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3 Cimarron</a:t>
            </a:r>
            <a:endParaRPr lang="en-US" sz="7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7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412" name="Text Box 1788">
            <a:extLst>
              <a:ext uri="{FF2B5EF4-FFF2-40B4-BE49-F238E27FC236}">
                <a16:creationId xmlns:a16="http://schemas.microsoft.com/office/drawing/2014/main" id="{00000000-0008-0000-0800-0000FC6E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571" y="1223"/>
            <a:ext cx="259" cy="5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6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Eagle Nest</a:t>
            </a:r>
            <a:endParaRPr lang="en-US" sz="7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7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413" name="Text Box 1789">
            <a:extLst>
              <a:ext uri="{FF2B5EF4-FFF2-40B4-BE49-F238E27FC236}">
                <a16:creationId xmlns:a16="http://schemas.microsoft.com/office/drawing/2014/main" id="{00000000-0008-0000-0800-0000FD6E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724" y="1258"/>
            <a:ext cx="135" cy="5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6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3-B</a:t>
            </a:r>
            <a:endParaRPr lang="en-US" sz="7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7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414" name="Text Box 1790">
            <a:extLst>
              <a:ext uri="{FF2B5EF4-FFF2-40B4-BE49-F238E27FC236}">
                <a16:creationId xmlns:a16="http://schemas.microsoft.com/office/drawing/2014/main" id="{00000000-0008-0000-0800-0000FE6E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665" y="689"/>
            <a:ext cx="159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3-B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415" name="Text Box 1791">
            <a:extLst>
              <a:ext uri="{FF2B5EF4-FFF2-40B4-BE49-F238E27FC236}">
                <a16:creationId xmlns:a16="http://schemas.microsoft.com/office/drawing/2014/main" id="{00000000-0008-0000-0800-0000FF6E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01" y="724"/>
            <a:ext cx="118" cy="5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6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Raton</a:t>
            </a:r>
            <a:endParaRPr lang="en-US" sz="7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7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416" name="Text Box 1792">
            <a:extLst>
              <a:ext uri="{FF2B5EF4-FFF2-40B4-BE49-F238E27FC236}">
                <a16:creationId xmlns:a16="http://schemas.microsoft.com/office/drawing/2014/main" id="{00000000-0008-0000-0800-000000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006" y="962"/>
            <a:ext cx="212" cy="5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6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Maxwell</a:t>
            </a:r>
            <a:endParaRPr lang="en-US" sz="7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7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417" name="Text Box 1793">
            <a:extLst>
              <a:ext uri="{FF2B5EF4-FFF2-40B4-BE49-F238E27FC236}">
                <a16:creationId xmlns:a16="http://schemas.microsoft.com/office/drawing/2014/main" id="{00000000-0008-0000-0800-000001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006" y="1199"/>
            <a:ext cx="212" cy="5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6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Springer</a:t>
            </a:r>
            <a:endParaRPr lang="en-US" sz="7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7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418" name="Text Box 1794">
            <a:extLst>
              <a:ext uri="{FF2B5EF4-FFF2-40B4-BE49-F238E27FC236}">
                <a16:creationId xmlns:a16="http://schemas.microsoft.com/office/drawing/2014/main" id="{00000000-0008-0000-0800-000002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006" y="760"/>
            <a:ext cx="77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11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419" name="Text Box 1795">
            <a:extLst>
              <a:ext uri="{FF2B5EF4-FFF2-40B4-BE49-F238E27FC236}">
                <a16:creationId xmlns:a16="http://schemas.microsoft.com/office/drawing/2014/main" id="{00000000-0008-0000-0800-000003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965" y="1009"/>
            <a:ext cx="153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26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420" name="Text Box 1796">
            <a:extLst>
              <a:ext uri="{FF2B5EF4-FFF2-40B4-BE49-F238E27FC236}">
                <a16:creationId xmlns:a16="http://schemas.microsoft.com/office/drawing/2014/main" id="{00000000-0008-0000-0800-000004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059" y="1258"/>
            <a:ext cx="159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24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421" name="Text Box 1797">
            <a:extLst>
              <a:ext uri="{FF2B5EF4-FFF2-40B4-BE49-F238E27FC236}">
                <a16:creationId xmlns:a16="http://schemas.microsoft.com/office/drawing/2014/main" id="{00000000-0008-0000-0800-000005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283" y="855"/>
            <a:ext cx="71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35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422" name="Text Box 1798">
            <a:extLst>
              <a:ext uri="{FF2B5EF4-FFF2-40B4-BE49-F238E27FC236}">
                <a16:creationId xmlns:a16="http://schemas.microsoft.com/office/drawing/2014/main" id="{00000000-0008-0000-0800-000006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419" y="724"/>
            <a:ext cx="183" cy="5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6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Folsom</a:t>
            </a:r>
            <a:endParaRPr lang="en-US" sz="7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7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423" name="Text Box 1799">
            <a:extLst>
              <a:ext uri="{FF2B5EF4-FFF2-40B4-BE49-F238E27FC236}">
                <a16:creationId xmlns:a16="http://schemas.microsoft.com/office/drawing/2014/main" id="{00000000-0008-0000-0800-000007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454" y="807"/>
            <a:ext cx="289" cy="5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6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Des Moines</a:t>
            </a:r>
            <a:endParaRPr lang="en-US" sz="7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7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424" name="Text Box 1800">
            <a:extLst>
              <a:ext uri="{FF2B5EF4-FFF2-40B4-BE49-F238E27FC236}">
                <a16:creationId xmlns:a16="http://schemas.microsoft.com/office/drawing/2014/main" id="{00000000-0008-0000-0800-000008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366" y="979"/>
            <a:ext cx="188" cy="5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6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Grenville</a:t>
            </a:r>
            <a:endParaRPr lang="en-US" sz="7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7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425" name="Text Box 1801">
            <a:extLst>
              <a:ext uri="{FF2B5EF4-FFF2-40B4-BE49-F238E27FC236}">
                <a16:creationId xmlns:a16="http://schemas.microsoft.com/office/drawing/2014/main" id="{00000000-0008-0000-0800-000009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430" y="1021"/>
            <a:ext cx="77" cy="7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22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426" name="Text Box 1802">
            <a:extLst>
              <a:ext uri="{FF2B5EF4-FFF2-40B4-BE49-F238E27FC236}">
                <a16:creationId xmlns:a16="http://schemas.microsoft.com/office/drawing/2014/main" id="{00000000-0008-0000-0800-00000A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354" y="1246"/>
            <a:ext cx="71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49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427" name="Text Box 1803">
            <a:extLst>
              <a:ext uri="{FF2B5EF4-FFF2-40B4-BE49-F238E27FC236}">
                <a16:creationId xmlns:a16="http://schemas.microsoft.com/office/drawing/2014/main" id="{00000000-0008-0000-0800-00000B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654" y="1051"/>
            <a:ext cx="77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1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428" name="Text Box 1804">
            <a:extLst>
              <a:ext uri="{FF2B5EF4-FFF2-40B4-BE49-F238E27FC236}">
                <a16:creationId xmlns:a16="http://schemas.microsoft.com/office/drawing/2014/main" id="{00000000-0008-0000-0800-00000C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630" y="1146"/>
            <a:ext cx="188" cy="5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6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Clayton</a:t>
            </a:r>
            <a:endParaRPr lang="en-US" sz="7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7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429" name="Text Box 1805">
            <a:extLst>
              <a:ext uri="{FF2B5EF4-FFF2-40B4-BE49-F238E27FC236}">
                <a16:creationId xmlns:a16="http://schemas.microsoft.com/office/drawing/2014/main" id="{00000000-0008-0000-0800-00000D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778" y="1834"/>
            <a:ext cx="159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33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430" name="Text Box 1806">
            <a:extLst>
              <a:ext uri="{FF2B5EF4-FFF2-40B4-BE49-F238E27FC236}">
                <a16:creationId xmlns:a16="http://schemas.microsoft.com/office/drawing/2014/main" id="{00000000-0008-0000-0800-00000E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789" y="1976"/>
            <a:ext cx="159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32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431" name="Text Box 1807">
            <a:extLst>
              <a:ext uri="{FF2B5EF4-FFF2-40B4-BE49-F238E27FC236}">
                <a16:creationId xmlns:a16="http://schemas.microsoft.com/office/drawing/2014/main" id="{00000000-0008-0000-0800-00000F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801" y="2160"/>
            <a:ext cx="159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34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432" name="Text Box 1808">
            <a:extLst>
              <a:ext uri="{FF2B5EF4-FFF2-40B4-BE49-F238E27FC236}">
                <a16:creationId xmlns:a16="http://schemas.microsoft.com/office/drawing/2014/main" id="{00000000-0008-0000-0800-000010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678" y="1976"/>
            <a:ext cx="82" cy="5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6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24-</a:t>
            </a: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433" name="Text Box 1809">
            <a:extLst>
              <a:ext uri="{FF2B5EF4-FFF2-40B4-BE49-F238E27FC236}">
                <a16:creationId xmlns:a16="http://schemas.microsoft.com/office/drawing/2014/main" id="{00000000-0008-0000-0800-000011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218" y="2006"/>
            <a:ext cx="153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1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434" name="Text Box 1810">
            <a:extLst>
              <a:ext uri="{FF2B5EF4-FFF2-40B4-BE49-F238E27FC236}">
                <a16:creationId xmlns:a16="http://schemas.microsoft.com/office/drawing/2014/main" id="{00000000-0008-0000-0800-000012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771" y="1863"/>
            <a:ext cx="82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2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435" name="Text Box 1811">
            <a:extLst>
              <a:ext uri="{FF2B5EF4-FFF2-40B4-BE49-F238E27FC236}">
                <a16:creationId xmlns:a16="http://schemas.microsoft.com/office/drawing/2014/main" id="{00000000-0008-0000-0800-000013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553" y="2024"/>
            <a:ext cx="53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1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436" name="Text Box 1812">
            <a:extLst>
              <a:ext uri="{FF2B5EF4-FFF2-40B4-BE49-F238E27FC236}">
                <a16:creationId xmlns:a16="http://schemas.microsoft.com/office/drawing/2014/main" id="{00000000-0008-0000-0800-000014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341" y="1798"/>
            <a:ext cx="88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21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437" name="Text Box 1813">
            <a:extLst>
              <a:ext uri="{FF2B5EF4-FFF2-40B4-BE49-F238E27FC236}">
                <a16:creationId xmlns:a16="http://schemas.microsoft.com/office/drawing/2014/main" id="{00000000-0008-0000-0800-000015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229" y="1626"/>
            <a:ext cx="171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18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438" name="Text Box 1814">
            <a:extLst>
              <a:ext uri="{FF2B5EF4-FFF2-40B4-BE49-F238E27FC236}">
                <a16:creationId xmlns:a16="http://schemas.microsoft.com/office/drawing/2014/main" id="{00000000-0008-0000-0800-000016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459" y="1573"/>
            <a:ext cx="159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32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439" name="Text Box 1815">
            <a:extLst>
              <a:ext uri="{FF2B5EF4-FFF2-40B4-BE49-F238E27FC236}">
                <a16:creationId xmlns:a16="http://schemas.microsoft.com/office/drawing/2014/main" id="{00000000-0008-0000-0800-000017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57" y="2350"/>
            <a:ext cx="159" cy="7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440" name="Text Box 1816">
            <a:extLst>
              <a:ext uri="{FF2B5EF4-FFF2-40B4-BE49-F238E27FC236}">
                <a16:creationId xmlns:a16="http://schemas.microsoft.com/office/drawing/2014/main" id="{00000000-0008-0000-0800-000018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947" y="1537"/>
            <a:ext cx="153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12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441" name="Text Box 1817">
            <a:extLst>
              <a:ext uri="{FF2B5EF4-FFF2-40B4-BE49-F238E27FC236}">
                <a16:creationId xmlns:a16="http://schemas.microsoft.com/office/drawing/2014/main" id="{00000000-0008-0000-0800-000019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135" y="1982"/>
            <a:ext cx="65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C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442" name="Text Box 1818">
            <a:extLst>
              <a:ext uri="{FF2B5EF4-FFF2-40B4-BE49-F238E27FC236}">
                <a16:creationId xmlns:a16="http://schemas.microsoft.com/office/drawing/2014/main" id="{00000000-0008-0000-0800-00001A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417" y="2172"/>
            <a:ext cx="100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50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443" name="Text Box 1819">
            <a:extLst>
              <a:ext uri="{FF2B5EF4-FFF2-40B4-BE49-F238E27FC236}">
                <a16:creationId xmlns:a16="http://schemas.microsoft.com/office/drawing/2014/main" id="{00000000-0008-0000-0800-00001B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024" y="2546"/>
            <a:ext cx="94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8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444" name="Text Box 1820">
            <a:extLst>
              <a:ext uri="{FF2B5EF4-FFF2-40B4-BE49-F238E27FC236}">
                <a16:creationId xmlns:a16="http://schemas.microsoft.com/office/drawing/2014/main" id="{00000000-0008-0000-0800-00001C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264" y="2492"/>
            <a:ext cx="153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8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445" name="Text Box 1821">
            <a:extLst>
              <a:ext uri="{FF2B5EF4-FFF2-40B4-BE49-F238E27FC236}">
                <a16:creationId xmlns:a16="http://schemas.microsoft.com/office/drawing/2014/main" id="{00000000-0008-0000-0800-00001D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88" y="2285"/>
            <a:ext cx="153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8-T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446" name="Text Box 1822">
            <a:extLst>
              <a:ext uri="{FF2B5EF4-FFF2-40B4-BE49-F238E27FC236}">
                <a16:creationId xmlns:a16="http://schemas.microsoft.com/office/drawing/2014/main" id="{00000000-0008-0000-0800-00001E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805" y="2830"/>
            <a:ext cx="53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2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447" name="Text Box 1823">
            <a:extLst>
              <a:ext uri="{FF2B5EF4-FFF2-40B4-BE49-F238E27FC236}">
                <a16:creationId xmlns:a16="http://schemas.microsoft.com/office/drawing/2014/main" id="{00000000-0008-0000-0800-00001F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400" y="2670"/>
            <a:ext cx="94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16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448" name="Text Box 1824">
            <a:extLst>
              <a:ext uri="{FF2B5EF4-FFF2-40B4-BE49-F238E27FC236}">
                <a16:creationId xmlns:a16="http://schemas.microsoft.com/office/drawing/2014/main" id="{00000000-0008-0000-0800-000020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641" y="2801"/>
            <a:ext cx="153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33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449" name="Text Box 1825">
            <a:extLst>
              <a:ext uri="{FF2B5EF4-FFF2-40B4-BE49-F238E27FC236}">
                <a16:creationId xmlns:a16="http://schemas.microsoft.com/office/drawing/2014/main" id="{00000000-0008-0000-0800-000021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265" y="3056"/>
            <a:ext cx="100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20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450" name="Text Box 1826">
            <a:extLst>
              <a:ext uri="{FF2B5EF4-FFF2-40B4-BE49-F238E27FC236}">
                <a16:creationId xmlns:a16="http://schemas.microsoft.com/office/drawing/2014/main" id="{00000000-0008-0000-0800-000022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313" y="2652"/>
            <a:ext cx="153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19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451" name="Text Box 1827">
            <a:extLst>
              <a:ext uri="{FF2B5EF4-FFF2-40B4-BE49-F238E27FC236}">
                <a16:creationId xmlns:a16="http://schemas.microsoft.com/office/drawing/2014/main" id="{00000000-0008-0000-0800-000023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566" y="2593"/>
            <a:ext cx="106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53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452" name="Text Box 1828">
            <a:extLst>
              <a:ext uri="{FF2B5EF4-FFF2-40B4-BE49-F238E27FC236}">
                <a16:creationId xmlns:a16="http://schemas.microsoft.com/office/drawing/2014/main" id="{00000000-0008-0000-0800-000024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742" y="2694"/>
            <a:ext cx="77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61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453" name="Text Box 1829">
            <a:extLst>
              <a:ext uri="{FF2B5EF4-FFF2-40B4-BE49-F238E27FC236}">
                <a16:creationId xmlns:a16="http://schemas.microsoft.com/office/drawing/2014/main" id="{00000000-0008-0000-0800-000025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884" y="2658"/>
            <a:ext cx="59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2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454" name="Text Box 1830">
            <a:extLst>
              <a:ext uri="{FF2B5EF4-FFF2-40B4-BE49-F238E27FC236}">
                <a16:creationId xmlns:a16="http://schemas.microsoft.com/office/drawing/2014/main" id="{00000000-0008-0000-0800-000026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407" y="2813"/>
            <a:ext cx="159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9-A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455" name="Text Box 1831">
            <a:extLst>
              <a:ext uri="{FF2B5EF4-FFF2-40B4-BE49-F238E27FC236}">
                <a16:creationId xmlns:a16="http://schemas.microsoft.com/office/drawing/2014/main" id="{00000000-0008-0000-0800-000027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407" y="2908"/>
            <a:ext cx="159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9/53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456" name="Text Box 1832">
            <a:extLst>
              <a:ext uri="{FF2B5EF4-FFF2-40B4-BE49-F238E27FC236}">
                <a16:creationId xmlns:a16="http://schemas.microsoft.com/office/drawing/2014/main" id="{00000000-0008-0000-0800-000028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542" y="3003"/>
            <a:ext cx="106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12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457" name="Text Box 1833">
            <a:extLst>
              <a:ext uri="{FF2B5EF4-FFF2-40B4-BE49-F238E27FC236}">
                <a16:creationId xmlns:a16="http://schemas.microsoft.com/office/drawing/2014/main" id="{00000000-0008-0000-0800-000029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448" y="3103"/>
            <a:ext cx="53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5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458" name="Text Box 1834">
            <a:extLst>
              <a:ext uri="{FF2B5EF4-FFF2-40B4-BE49-F238E27FC236}">
                <a16:creationId xmlns:a16="http://schemas.microsoft.com/office/drawing/2014/main" id="{00000000-0008-0000-0800-00002A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364" y="3003"/>
            <a:ext cx="159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20-35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459" name="Text Box 1835">
            <a:extLst>
              <a:ext uri="{FF2B5EF4-FFF2-40B4-BE49-F238E27FC236}">
                <a16:creationId xmlns:a16="http://schemas.microsoft.com/office/drawing/2014/main" id="{00000000-0008-0000-0800-00002B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594" y="3121"/>
            <a:ext cx="153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13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460" name="Text Box 1836">
            <a:extLst>
              <a:ext uri="{FF2B5EF4-FFF2-40B4-BE49-F238E27FC236}">
                <a16:creationId xmlns:a16="http://schemas.microsoft.com/office/drawing/2014/main" id="{00000000-0008-0000-0800-00002C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976" y="3003"/>
            <a:ext cx="153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13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01013" name="Freeform 1837">
            <a:extLst>
              <a:ext uri="{FF2B5EF4-FFF2-40B4-BE49-F238E27FC236}">
                <a16:creationId xmlns:a16="http://schemas.microsoft.com/office/drawing/2014/main" id="{00000000-0008-0000-0800-000035110300}"/>
              </a:ext>
            </a:extLst>
          </xdr:cNvPr>
          <xdr:cNvSpPr>
            <a:spLocks/>
          </xdr:cNvSpPr>
        </xdr:nvSpPr>
        <xdr:spPr bwMode="auto">
          <a:xfrm>
            <a:off x="1301" y="4202"/>
            <a:ext cx="606" cy="430"/>
          </a:xfrm>
          <a:custGeom>
            <a:avLst/>
            <a:gdLst>
              <a:gd name="T0" fmla="*/ 606 w 606"/>
              <a:gd name="T1" fmla="*/ 0 h 430"/>
              <a:gd name="T2" fmla="*/ 606 w 606"/>
              <a:gd name="T3" fmla="*/ 81 h 430"/>
              <a:gd name="T4" fmla="*/ 588 w 606"/>
              <a:gd name="T5" fmla="*/ 81 h 430"/>
              <a:gd name="T6" fmla="*/ 583 w 606"/>
              <a:gd name="T7" fmla="*/ 430 h 430"/>
              <a:gd name="T8" fmla="*/ 0 w 606"/>
              <a:gd name="T9" fmla="*/ 430 h 430"/>
              <a:gd name="T10" fmla="*/ 10 w 606"/>
              <a:gd name="T11" fmla="*/ 223 h 430"/>
              <a:gd name="T12" fmla="*/ 235 w 606"/>
              <a:gd name="T13" fmla="*/ 228 h 430"/>
              <a:gd name="T14" fmla="*/ 237 w 606"/>
              <a:gd name="T15" fmla="*/ 229 h 430"/>
              <a:gd name="T16" fmla="*/ 265 w 606"/>
              <a:gd name="T17" fmla="*/ 228 h 430"/>
              <a:gd name="T18" fmla="*/ 267 w 606"/>
              <a:gd name="T19" fmla="*/ 192 h 430"/>
              <a:gd name="T20" fmla="*/ 606 w 606"/>
              <a:gd name="T21" fmla="*/ 0 h 430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w 606"/>
              <a:gd name="T34" fmla="*/ 0 h 430"/>
              <a:gd name="T35" fmla="*/ 606 w 606"/>
              <a:gd name="T36" fmla="*/ 430 h 430"/>
            </a:gdLst>
            <a:ahLst/>
            <a:cxnLst>
              <a:cxn ang="T22">
                <a:pos x="T0" y="T1"/>
              </a:cxn>
              <a:cxn ang="T23">
                <a:pos x="T2" y="T3"/>
              </a:cxn>
              <a:cxn ang="T24">
                <a:pos x="T4" y="T5"/>
              </a:cxn>
              <a:cxn ang="T25">
                <a:pos x="T6" y="T7"/>
              </a:cxn>
              <a:cxn ang="T26">
                <a:pos x="T8" y="T9"/>
              </a:cxn>
              <a:cxn ang="T27">
                <a:pos x="T10" y="T11"/>
              </a:cxn>
              <a:cxn ang="T28">
                <a:pos x="T12" y="T13"/>
              </a:cxn>
              <a:cxn ang="T29">
                <a:pos x="T14" y="T15"/>
              </a:cxn>
              <a:cxn ang="T30">
                <a:pos x="T16" y="T17"/>
              </a:cxn>
              <a:cxn ang="T31">
                <a:pos x="T18" y="T19"/>
              </a:cxn>
              <a:cxn ang="T32">
                <a:pos x="T20" y="T21"/>
              </a:cxn>
            </a:cxnLst>
            <a:rect l="T33" t="T34" r="T35" b="T36"/>
            <a:pathLst>
              <a:path w="606" h="430">
                <a:moveTo>
                  <a:pt x="606" y="0"/>
                </a:moveTo>
                <a:lnTo>
                  <a:pt x="606" y="81"/>
                </a:lnTo>
                <a:lnTo>
                  <a:pt x="588" y="81"/>
                </a:lnTo>
                <a:lnTo>
                  <a:pt x="583" y="430"/>
                </a:lnTo>
                <a:lnTo>
                  <a:pt x="0" y="430"/>
                </a:lnTo>
                <a:lnTo>
                  <a:pt x="10" y="223"/>
                </a:lnTo>
                <a:lnTo>
                  <a:pt x="235" y="228"/>
                </a:lnTo>
                <a:lnTo>
                  <a:pt x="237" y="229"/>
                </a:lnTo>
                <a:lnTo>
                  <a:pt x="265" y="228"/>
                </a:lnTo>
                <a:lnTo>
                  <a:pt x="267" y="192"/>
                </a:lnTo>
                <a:lnTo>
                  <a:pt x="606" y="0"/>
                </a:lnTo>
                <a:close/>
              </a:path>
            </a:pathLst>
          </a:custGeom>
          <a:noFill/>
          <a:ln w="9525" cap="flat" cmpd="sng">
            <a:solidFill>
              <a:srgbClr val="333399"/>
            </a:solidFill>
            <a:prstDash val="sysDot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1014" name="Freeform 1838">
            <a:extLst>
              <a:ext uri="{FF2B5EF4-FFF2-40B4-BE49-F238E27FC236}">
                <a16:creationId xmlns:a16="http://schemas.microsoft.com/office/drawing/2014/main" id="{00000000-0008-0000-0800-000036110300}"/>
              </a:ext>
            </a:extLst>
          </xdr:cNvPr>
          <xdr:cNvSpPr>
            <a:spLocks/>
          </xdr:cNvSpPr>
        </xdr:nvSpPr>
        <xdr:spPr bwMode="auto">
          <a:xfrm>
            <a:off x="1293" y="4980"/>
            <a:ext cx="587" cy="1"/>
          </a:xfrm>
          <a:custGeom>
            <a:avLst/>
            <a:gdLst>
              <a:gd name="T0" fmla="*/ 0 w 587"/>
              <a:gd name="T1" fmla="*/ 0 h 1"/>
              <a:gd name="T2" fmla="*/ 587 w 587"/>
              <a:gd name="T3" fmla="*/ 0 h 1"/>
              <a:gd name="T4" fmla="*/ 0 60000 65536"/>
              <a:gd name="T5" fmla="*/ 0 60000 65536"/>
              <a:gd name="T6" fmla="*/ 0 w 587"/>
              <a:gd name="T7" fmla="*/ 0 h 1"/>
              <a:gd name="T8" fmla="*/ 587 w 587"/>
              <a:gd name="T9" fmla="*/ 1 h 1"/>
            </a:gdLst>
            <a:ahLst/>
            <a:cxnLst>
              <a:cxn ang="T4">
                <a:pos x="T0" y="T1"/>
              </a:cxn>
              <a:cxn ang="T5">
                <a:pos x="T2" y="T3"/>
              </a:cxn>
            </a:cxnLst>
            <a:rect l="T6" t="T7" r="T8" b="T9"/>
            <a:pathLst>
              <a:path w="587" h="1">
                <a:moveTo>
                  <a:pt x="0" y="0"/>
                </a:moveTo>
                <a:lnTo>
                  <a:pt x="587" y="0"/>
                </a:lnTo>
              </a:path>
            </a:pathLst>
          </a:custGeom>
          <a:noFill/>
          <a:ln w="9525" cap="flat" cmpd="sng">
            <a:solidFill>
              <a:srgbClr val="333399"/>
            </a:solidFill>
            <a:prstDash val="sysDot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1015" name="Freeform 1839">
            <a:extLst>
              <a:ext uri="{FF2B5EF4-FFF2-40B4-BE49-F238E27FC236}">
                <a16:creationId xmlns:a16="http://schemas.microsoft.com/office/drawing/2014/main" id="{00000000-0008-0000-0800-000037110300}"/>
              </a:ext>
            </a:extLst>
          </xdr:cNvPr>
          <xdr:cNvSpPr>
            <a:spLocks/>
          </xdr:cNvSpPr>
        </xdr:nvSpPr>
        <xdr:spPr bwMode="auto">
          <a:xfrm>
            <a:off x="1881" y="4965"/>
            <a:ext cx="105" cy="183"/>
          </a:xfrm>
          <a:custGeom>
            <a:avLst/>
            <a:gdLst>
              <a:gd name="T0" fmla="*/ 0 w 105"/>
              <a:gd name="T1" fmla="*/ 0 h 183"/>
              <a:gd name="T2" fmla="*/ 105 w 105"/>
              <a:gd name="T3" fmla="*/ 0 h 183"/>
              <a:gd name="T4" fmla="*/ 57 w 105"/>
              <a:gd name="T5" fmla="*/ 183 h 183"/>
              <a:gd name="T6" fmla="*/ 0 60000 65536"/>
              <a:gd name="T7" fmla="*/ 0 60000 65536"/>
              <a:gd name="T8" fmla="*/ 0 60000 65536"/>
              <a:gd name="T9" fmla="*/ 0 w 105"/>
              <a:gd name="T10" fmla="*/ 0 h 183"/>
              <a:gd name="T11" fmla="*/ 105 w 105"/>
              <a:gd name="T12" fmla="*/ 183 h 183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105" h="183">
                <a:moveTo>
                  <a:pt x="0" y="0"/>
                </a:moveTo>
                <a:lnTo>
                  <a:pt x="105" y="0"/>
                </a:lnTo>
                <a:lnTo>
                  <a:pt x="57" y="183"/>
                </a:lnTo>
              </a:path>
            </a:pathLst>
          </a:custGeom>
          <a:noFill/>
          <a:ln w="9525" cap="flat" cmpd="sng">
            <a:solidFill>
              <a:srgbClr val="333399"/>
            </a:solidFill>
            <a:prstDash val="sysDot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1016" name="Freeform 1840">
            <a:extLst>
              <a:ext uri="{FF2B5EF4-FFF2-40B4-BE49-F238E27FC236}">
                <a16:creationId xmlns:a16="http://schemas.microsoft.com/office/drawing/2014/main" id="{00000000-0008-0000-0800-000038110300}"/>
              </a:ext>
            </a:extLst>
          </xdr:cNvPr>
          <xdr:cNvSpPr>
            <a:spLocks/>
          </xdr:cNvSpPr>
        </xdr:nvSpPr>
        <xdr:spPr bwMode="auto">
          <a:xfrm>
            <a:off x="747" y="4011"/>
            <a:ext cx="2" cy="629"/>
          </a:xfrm>
          <a:custGeom>
            <a:avLst/>
            <a:gdLst>
              <a:gd name="T0" fmla="*/ 2 w 2"/>
              <a:gd name="T1" fmla="*/ 0 h 629"/>
              <a:gd name="T2" fmla="*/ 0 w 2"/>
              <a:gd name="T3" fmla="*/ 629 h 629"/>
              <a:gd name="T4" fmla="*/ 0 60000 65536"/>
              <a:gd name="T5" fmla="*/ 0 60000 65536"/>
              <a:gd name="T6" fmla="*/ 0 w 2"/>
              <a:gd name="T7" fmla="*/ 0 h 629"/>
              <a:gd name="T8" fmla="*/ 2 w 2"/>
              <a:gd name="T9" fmla="*/ 629 h 629"/>
            </a:gdLst>
            <a:ahLst/>
            <a:cxnLst>
              <a:cxn ang="T4">
                <a:pos x="T0" y="T1"/>
              </a:cxn>
              <a:cxn ang="T5">
                <a:pos x="T2" y="T3"/>
              </a:cxn>
            </a:cxnLst>
            <a:rect l="T6" t="T7" r="T8" b="T9"/>
            <a:pathLst>
              <a:path w="2" h="629">
                <a:moveTo>
                  <a:pt x="2" y="0"/>
                </a:moveTo>
                <a:lnTo>
                  <a:pt x="0" y="629"/>
                </a:lnTo>
              </a:path>
            </a:pathLst>
          </a:custGeom>
          <a:noFill/>
          <a:ln w="9525" cap="flat" cmpd="sng">
            <a:solidFill>
              <a:srgbClr val="333399"/>
            </a:solidFill>
            <a:prstDash val="sysDot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1017" name="Freeform 1841">
            <a:extLst>
              <a:ext uri="{FF2B5EF4-FFF2-40B4-BE49-F238E27FC236}">
                <a16:creationId xmlns:a16="http://schemas.microsoft.com/office/drawing/2014/main" id="{00000000-0008-0000-0800-000039110300}"/>
              </a:ext>
            </a:extLst>
          </xdr:cNvPr>
          <xdr:cNvSpPr>
            <a:spLocks/>
          </xdr:cNvSpPr>
        </xdr:nvSpPr>
        <xdr:spPr bwMode="auto">
          <a:xfrm>
            <a:off x="633" y="585"/>
            <a:ext cx="327" cy="917"/>
          </a:xfrm>
          <a:custGeom>
            <a:avLst/>
            <a:gdLst>
              <a:gd name="T0" fmla="*/ 8 w 327"/>
              <a:gd name="T1" fmla="*/ 0 h 917"/>
              <a:gd name="T2" fmla="*/ 80 w 327"/>
              <a:gd name="T3" fmla="*/ 3 h 917"/>
              <a:gd name="T4" fmla="*/ 327 w 327"/>
              <a:gd name="T5" fmla="*/ 12 h 917"/>
              <a:gd name="T6" fmla="*/ 324 w 327"/>
              <a:gd name="T7" fmla="*/ 89 h 917"/>
              <a:gd name="T8" fmla="*/ 324 w 327"/>
              <a:gd name="T9" fmla="*/ 109 h 917"/>
              <a:gd name="T10" fmla="*/ 324 w 327"/>
              <a:gd name="T11" fmla="*/ 158 h 917"/>
              <a:gd name="T12" fmla="*/ 283 w 327"/>
              <a:gd name="T13" fmla="*/ 156 h 917"/>
              <a:gd name="T14" fmla="*/ 280 w 327"/>
              <a:gd name="T15" fmla="*/ 215 h 917"/>
              <a:gd name="T16" fmla="*/ 321 w 327"/>
              <a:gd name="T17" fmla="*/ 215 h 917"/>
              <a:gd name="T18" fmla="*/ 321 w 327"/>
              <a:gd name="T19" fmla="*/ 271 h 917"/>
              <a:gd name="T20" fmla="*/ 287 w 327"/>
              <a:gd name="T21" fmla="*/ 280 h 917"/>
              <a:gd name="T22" fmla="*/ 262 w 327"/>
              <a:gd name="T23" fmla="*/ 271 h 917"/>
              <a:gd name="T24" fmla="*/ 258 w 327"/>
              <a:gd name="T25" fmla="*/ 322 h 917"/>
              <a:gd name="T26" fmla="*/ 249 w 327"/>
              <a:gd name="T27" fmla="*/ 342 h 917"/>
              <a:gd name="T28" fmla="*/ 249 w 327"/>
              <a:gd name="T29" fmla="*/ 360 h 917"/>
              <a:gd name="T30" fmla="*/ 231 w 327"/>
              <a:gd name="T31" fmla="*/ 917 h 917"/>
              <a:gd name="T32" fmla="*/ 143 w 327"/>
              <a:gd name="T33" fmla="*/ 914 h 917"/>
              <a:gd name="T34" fmla="*/ 153 w 327"/>
              <a:gd name="T35" fmla="*/ 369 h 917"/>
              <a:gd name="T36" fmla="*/ 171 w 327"/>
              <a:gd name="T37" fmla="*/ 363 h 917"/>
              <a:gd name="T38" fmla="*/ 174 w 327"/>
              <a:gd name="T39" fmla="*/ 313 h 917"/>
              <a:gd name="T40" fmla="*/ 149 w 327"/>
              <a:gd name="T41" fmla="*/ 307 h 917"/>
              <a:gd name="T42" fmla="*/ 156 w 327"/>
              <a:gd name="T43" fmla="*/ 242 h 917"/>
              <a:gd name="T44" fmla="*/ 174 w 327"/>
              <a:gd name="T45" fmla="*/ 245 h 917"/>
              <a:gd name="T46" fmla="*/ 174 w 327"/>
              <a:gd name="T47" fmla="*/ 210 h 917"/>
              <a:gd name="T48" fmla="*/ 0 w 327"/>
              <a:gd name="T49" fmla="*/ 201 h 917"/>
              <a:gd name="T50" fmla="*/ 8 w 327"/>
              <a:gd name="T51" fmla="*/ 0 h 917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w 327"/>
              <a:gd name="T79" fmla="*/ 0 h 917"/>
              <a:gd name="T80" fmla="*/ 327 w 327"/>
              <a:gd name="T81" fmla="*/ 917 h 917"/>
            </a:gdLst>
            <a:ahLst/>
            <a:cxnLst>
              <a:cxn ang="T52">
                <a:pos x="T0" y="T1"/>
              </a:cxn>
              <a:cxn ang="T53">
                <a:pos x="T2" y="T3"/>
              </a:cxn>
              <a:cxn ang="T54">
                <a:pos x="T4" y="T5"/>
              </a:cxn>
              <a:cxn ang="T55">
                <a:pos x="T6" y="T7"/>
              </a:cxn>
              <a:cxn ang="T56">
                <a:pos x="T8" y="T9"/>
              </a:cxn>
              <a:cxn ang="T57">
                <a:pos x="T10" y="T11"/>
              </a:cxn>
              <a:cxn ang="T58">
                <a:pos x="T12" y="T13"/>
              </a:cxn>
              <a:cxn ang="T59">
                <a:pos x="T14" y="T15"/>
              </a:cxn>
              <a:cxn ang="T60">
                <a:pos x="T16" y="T17"/>
              </a:cxn>
              <a:cxn ang="T61">
                <a:pos x="T18" y="T19"/>
              </a:cxn>
              <a:cxn ang="T62">
                <a:pos x="T20" y="T21"/>
              </a:cxn>
              <a:cxn ang="T63">
                <a:pos x="T22" y="T23"/>
              </a:cxn>
              <a:cxn ang="T64">
                <a:pos x="T24" y="T25"/>
              </a:cxn>
              <a:cxn ang="T65">
                <a:pos x="T26" y="T27"/>
              </a:cxn>
              <a:cxn ang="T66">
                <a:pos x="T28" y="T29"/>
              </a:cxn>
              <a:cxn ang="T67">
                <a:pos x="T30" y="T31"/>
              </a:cxn>
              <a:cxn ang="T68">
                <a:pos x="T32" y="T33"/>
              </a:cxn>
              <a:cxn ang="T69">
                <a:pos x="T34" y="T35"/>
              </a:cxn>
              <a:cxn ang="T70">
                <a:pos x="T36" y="T37"/>
              </a:cxn>
              <a:cxn ang="T71">
                <a:pos x="T38" y="T39"/>
              </a:cxn>
              <a:cxn ang="T72">
                <a:pos x="T40" y="T41"/>
              </a:cxn>
              <a:cxn ang="T73">
                <a:pos x="T42" y="T43"/>
              </a:cxn>
              <a:cxn ang="T74">
                <a:pos x="T44" y="T45"/>
              </a:cxn>
              <a:cxn ang="T75">
                <a:pos x="T46" y="T47"/>
              </a:cxn>
              <a:cxn ang="T76">
                <a:pos x="T48" y="T49"/>
              </a:cxn>
              <a:cxn ang="T77">
                <a:pos x="T50" y="T51"/>
              </a:cxn>
            </a:cxnLst>
            <a:rect l="T78" t="T79" r="T80" b="T81"/>
            <a:pathLst>
              <a:path w="327" h="917">
                <a:moveTo>
                  <a:pt x="8" y="0"/>
                </a:moveTo>
                <a:cubicBezTo>
                  <a:pt x="31" y="2"/>
                  <a:pt x="26" y="0"/>
                  <a:pt x="80" y="3"/>
                </a:cubicBezTo>
                <a:lnTo>
                  <a:pt x="327" y="12"/>
                </a:lnTo>
                <a:lnTo>
                  <a:pt x="324" y="89"/>
                </a:lnTo>
                <a:lnTo>
                  <a:pt x="324" y="109"/>
                </a:lnTo>
                <a:lnTo>
                  <a:pt x="324" y="158"/>
                </a:lnTo>
                <a:lnTo>
                  <a:pt x="283" y="156"/>
                </a:lnTo>
                <a:lnTo>
                  <a:pt x="280" y="215"/>
                </a:lnTo>
                <a:lnTo>
                  <a:pt x="321" y="215"/>
                </a:lnTo>
                <a:lnTo>
                  <a:pt x="321" y="271"/>
                </a:lnTo>
                <a:lnTo>
                  <a:pt x="287" y="280"/>
                </a:lnTo>
                <a:lnTo>
                  <a:pt x="262" y="271"/>
                </a:lnTo>
                <a:lnTo>
                  <a:pt x="258" y="322"/>
                </a:lnTo>
                <a:lnTo>
                  <a:pt x="249" y="342"/>
                </a:lnTo>
                <a:lnTo>
                  <a:pt x="249" y="360"/>
                </a:lnTo>
                <a:lnTo>
                  <a:pt x="231" y="917"/>
                </a:lnTo>
                <a:lnTo>
                  <a:pt x="143" y="914"/>
                </a:lnTo>
                <a:lnTo>
                  <a:pt x="153" y="369"/>
                </a:lnTo>
                <a:lnTo>
                  <a:pt x="171" y="363"/>
                </a:lnTo>
                <a:lnTo>
                  <a:pt x="174" y="313"/>
                </a:lnTo>
                <a:cubicBezTo>
                  <a:pt x="148" y="310"/>
                  <a:pt x="149" y="318"/>
                  <a:pt x="149" y="307"/>
                </a:cubicBezTo>
                <a:lnTo>
                  <a:pt x="156" y="242"/>
                </a:lnTo>
                <a:lnTo>
                  <a:pt x="174" y="245"/>
                </a:lnTo>
                <a:lnTo>
                  <a:pt x="174" y="210"/>
                </a:lnTo>
                <a:lnTo>
                  <a:pt x="0" y="201"/>
                </a:lnTo>
                <a:lnTo>
                  <a:pt x="8" y="0"/>
                </a:lnTo>
                <a:close/>
              </a:path>
            </a:pathLst>
          </a:custGeom>
          <a:noFill/>
          <a:ln w="9525" cap="flat" cmpd="sng">
            <a:solidFill>
              <a:srgbClr val="333399"/>
            </a:solidFill>
            <a:prstDash val="sysDot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1018" name="Freeform 1842">
            <a:extLst>
              <a:ext uri="{FF2B5EF4-FFF2-40B4-BE49-F238E27FC236}">
                <a16:creationId xmlns:a16="http://schemas.microsoft.com/office/drawing/2014/main" id="{00000000-0008-0000-0800-00003A110300}"/>
              </a:ext>
            </a:extLst>
          </xdr:cNvPr>
          <xdr:cNvSpPr>
            <a:spLocks/>
          </xdr:cNvSpPr>
        </xdr:nvSpPr>
        <xdr:spPr bwMode="auto">
          <a:xfrm>
            <a:off x="953" y="743"/>
            <a:ext cx="285" cy="57"/>
          </a:xfrm>
          <a:custGeom>
            <a:avLst/>
            <a:gdLst>
              <a:gd name="T0" fmla="*/ 0 w 285"/>
              <a:gd name="T1" fmla="*/ 57 h 57"/>
              <a:gd name="T2" fmla="*/ 135 w 285"/>
              <a:gd name="T3" fmla="*/ 55 h 57"/>
              <a:gd name="T4" fmla="*/ 143 w 285"/>
              <a:gd name="T5" fmla="*/ 41 h 57"/>
              <a:gd name="T6" fmla="*/ 145 w 285"/>
              <a:gd name="T7" fmla="*/ 1 h 57"/>
              <a:gd name="T8" fmla="*/ 285 w 285"/>
              <a:gd name="T9" fmla="*/ 0 h 57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  <a:gd name="T15" fmla="*/ 0 w 285"/>
              <a:gd name="T16" fmla="*/ 0 h 57"/>
              <a:gd name="T17" fmla="*/ 285 w 285"/>
              <a:gd name="T18" fmla="*/ 57 h 57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T15" t="T16" r="T17" b="T18"/>
            <a:pathLst>
              <a:path w="285" h="57">
                <a:moveTo>
                  <a:pt x="0" y="57"/>
                </a:moveTo>
                <a:lnTo>
                  <a:pt x="135" y="55"/>
                </a:lnTo>
                <a:lnTo>
                  <a:pt x="143" y="41"/>
                </a:lnTo>
                <a:lnTo>
                  <a:pt x="145" y="1"/>
                </a:lnTo>
                <a:lnTo>
                  <a:pt x="285" y="0"/>
                </a:lnTo>
              </a:path>
            </a:pathLst>
          </a:custGeom>
          <a:noFill/>
          <a:ln w="9525" cap="flat" cmpd="sng">
            <a:solidFill>
              <a:srgbClr val="333399"/>
            </a:solidFill>
            <a:prstDash val="sysDot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8467" name="Text Box 1843">
            <a:extLst>
              <a:ext uri="{FF2B5EF4-FFF2-40B4-BE49-F238E27FC236}">
                <a16:creationId xmlns:a16="http://schemas.microsoft.com/office/drawing/2014/main" id="{00000000-0008-0000-0800-000033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2" y="1869"/>
            <a:ext cx="47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1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468" name="Text Box 1844">
            <a:extLst>
              <a:ext uri="{FF2B5EF4-FFF2-40B4-BE49-F238E27FC236}">
                <a16:creationId xmlns:a16="http://schemas.microsoft.com/office/drawing/2014/main" id="{00000000-0008-0000-0800-000034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45" y="1946"/>
            <a:ext cx="141" cy="7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7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</a:t>
            </a:r>
            <a:r>
              <a:rPr lang="en-US" sz="6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Gallup</a:t>
            </a: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469" name="Text Box 1845">
            <a:extLst>
              <a:ext uri="{FF2B5EF4-FFF2-40B4-BE49-F238E27FC236}">
                <a16:creationId xmlns:a16="http://schemas.microsoft.com/office/drawing/2014/main" id="{00000000-0008-0000-0800-000035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80" y="2326"/>
            <a:ext cx="106" cy="6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7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</a:t>
            </a:r>
            <a:r>
              <a:rPr lang="en-US" sz="6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Zuni</a:t>
            </a: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01022" name="Line 1846">
            <a:extLst>
              <a:ext uri="{FF2B5EF4-FFF2-40B4-BE49-F238E27FC236}">
                <a16:creationId xmlns:a16="http://schemas.microsoft.com/office/drawing/2014/main" id="{00000000-0008-0000-0800-00003E110300}"/>
              </a:ext>
            </a:extLst>
          </xdr:cNvPr>
          <xdr:cNvSpPr>
            <a:spLocks noChangeShapeType="1"/>
          </xdr:cNvSpPr>
        </xdr:nvSpPr>
        <xdr:spPr bwMode="auto">
          <a:xfrm>
            <a:off x="1824" y="1642"/>
            <a:ext cx="150" cy="0"/>
          </a:xfrm>
          <a:prstGeom prst="line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 type="triangle" w="med" len="med"/>
              </a14:hiddenLine>
            </a:ext>
          </a:extLst>
        </xdr:spPr>
      </xdr:sp>
      <xdr:sp macro="" textlink="">
        <xdr:nvSpPr>
          <xdr:cNvPr id="201023" name="Line 1847">
            <a:extLst>
              <a:ext uri="{FF2B5EF4-FFF2-40B4-BE49-F238E27FC236}">
                <a16:creationId xmlns:a16="http://schemas.microsoft.com/office/drawing/2014/main" id="{00000000-0008-0000-0800-00003F110300}"/>
              </a:ext>
            </a:extLst>
          </xdr:cNvPr>
          <xdr:cNvSpPr>
            <a:spLocks noChangeShapeType="1"/>
          </xdr:cNvSpPr>
        </xdr:nvSpPr>
        <xdr:spPr bwMode="auto">
          <a:xfrm>
            <a:off x="1776" y="1680"/>
            <a:ext cx="210" cy="0"/>
          </a:xfrm>
          <a:prstGeom prst="line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 type="triangle" w="med" len="med"/>
              </a14:hiddenLine>
            </a:ext>
          </a:extLst>
        </xdr:spPr>
      </xdr:sp>
      <xdr:sp macro="" textlink="">
        <xdr:nvSpPr>
          <xdr:cNvPr id="28472" name="Text Box 1848">
            <a:extLst>
              <a:ext uri="{FF2B5EF4-FFF2-40B4-BE49-F238E27FC236}">
                <a16:creationId xmlns:a16="http://schemas.microsoft.com/office/drawing/2014/main" id="{00000000-0008-0000-0800-000038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681" y="1585"/>
            <a:ext cx="277" cy="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10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Alamos </a:t>
            </a:r>
          </a:p>
          <a:p>
            <a:pPr algn="l" rtl="0">
              <a:defRPr sz="1000"/>
            </a:pPr>
            <a:endParaRPr 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473" name="Text Box 1849">
            <a:extLst>
              <a:ext uri="{FF2B5EF4-FFF2-40B4-BE49-F238E27FC236}">
                <a16:creationId xmlns:a16="http://schemas.microsoft.com/office/drawing/2014/main" id="{00000000-0008-0000-0800-000039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70" y="1679"/>
            <a:ext cx="159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1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01026" name="Line 1850">
            <a:extLst>
              <a:ext uri="{FF2B5EF4-FFF2-40B4-BE49-F238E27FC236}">
                <a16:creationId xmlns:a16="http://schemas.microsoft.com/office/drawing/2014/main" id="{00000000-0008-0000-0800-000042110300}"/>
              </a:ext>
            </a:extLst>
          </xdr:cNvPr>
          <xdr:cNvSpPr>
            <a:spLocks noChangeShapeType="1"/>
          </xdr:cNvSpPr>
        </xdr:nvSpPr>
        <xdr:spPr bwMode="auto">
          <a:xfrm flipV="1">
            <a:off x="2268" y="1565"/>
            <a:ext cx="0" cy="77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 type="triangl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01027" name="Freeform 1851">
            <a:extLst>
              <a:ext uri="{FF2B5EF4-FFF2-40B4-BE49-F238E27FC236}">
                <a16:creationId xmlns:a16="http://schemas.microsoft.com/office/drawing/2014/main" id="{00000000-0008-0000-0800-000043110300}"/>
              </a:ext>
            </a:extLst>
          </xdr:cNvPr>
          <xdr:cNvSpPr>
            <a:spLocks/>
          </xdr:cNvSpPr>
        </xdr:nvSpPr>
        <xdr:spPr bwMode="auto">
          <a:xfrm>
            <a:off x="2129" y="1572"/>
            <a:ext cx="196" cy="1"/>
          </a:xfrm>
          <a:custGeom>
            <a:avLst/>
            <a:gdLst>
              <a:gd name="T0" fmla="*/ 0 w 196"/>
              <a:gd name="T1" fmla="*/ 0 h 1"/>
              <a:gd name="T2" fmla="*/ 196 w 196"/>
              <a:gd name="T3" fmla="*/ 0 h 1"/>
              <a:gd name="T4" fmla="*/ 0 60000 65536"/>
              <a:gd name="T5" fmla="*/ 0 60000 65536"/>
              <a:gd name="T6" fmla="*/ 0 w 196"/>
              <a:gd name="T7" fmla="*/ 0 h 1"/>
              <a:gd name="T8" fmla="*/ 196 w 196"/>
              <a:gd name="T9" fmla="*/ 1 h 1"/>
            </a:gdLst>
            <a:ahLst/>
            <a:cxnLst>
              <a:cxn ang="T4">
                <a:pos x="T0" y="T1"/>
              </a:cxn>
              <a:cxn ang="T5">
                <a:pos x="T2" y="T3"/>
              </a:cxn>
            </a:cxnLst>
            <a:rect l="T6" t="T7" r="T8" b="T9"/>
            <a:pathLst>
              <a:path w="196" h="1">
                <a:moveTo>
                  <a:pt x="0" y="0"/>
                </a:moveTo>
                <a:lnTo>
                  <a:pt x="196" y="0"/>
                </a:lnTo>
              </a:path>
            </a:pathLst>
          </a:custGeom>
          <a:noFill/>
          <a:ln w="9525" cap="flat" cmpd="sng">
            <a:solidFill>
              <a:srgbClr val="333399"/>
            </a:solidFill>
            <a:prstDash val="sysDot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1028" name="Line 1852">
            <a:extLst>
              <a:ext uri="{FF2B5EF4-FFF2-40B4-BE49-F238E27FC236}">
                <a16:creationId xmlns:a16="http://schemas.microsoft.com/office/drawing/2014/main" id="{00000000-0008-0000-0800-000044110300}"/>
              </a:ext>
            </a:extLst>
          </xdr:cNvPr>
          <xdr:cNvSpPr>
            <a:spLocks noChangeShapeType="1"/>
          </xdr:cNvSpPr>
        </xdr:nvSpPr>
        <xdr:spPr bwMode="auto">
          <a:xfrm>
            <a:off x="2010" y="2160"/>
            <a:ext cx="313" cy="0"/>
          </a:xfrm>
          <a:prstGeom prst="line">
            <a:avLst/>
          </a:prstGeom>
          <a:noFill/>
          <a:ln w="9525">
            <a:solidFill>
              <a:srgbClr val="333399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01029" name="Freeform 1853">
            <a:extLst>
              <a:ext uri="{FF2B5EF4-FFF2-40B4-BE49-F238E27FC236}">
                <a16:creationId xmlns:a16="http://schemas.microsoft.com/office/drawing/2014/main" id="{00000000-0008-0000-0800-000045110300}"/>
              </a:ext>
            </a:extLst>
          </xdr:cNvPr>
          <xdr:cNvSpPr>
            <a:spLocks/>
          </xdr:cNvSpPr>
        </xdr:nvSpPr>
        <xdr:spPr bwMode="auto">
          <a:xfrm>
            <a:off x="1599" y="1535"/>
            <a:ext cx="417" cy="643"/>
          </a:xfrm>
          <a:custGeom>
            <a:avLst/>
            <a:gdLst>
              <a:gd name="T0" fmla="*/ 89 w 417"/>
              <a:gd name="T1" fmla="*/ 0 h 643"/>
              <a:gd name="T2" fmla="*/ 90 w 417"/>
              <a:gd name="T3" fmla="*/ 118 h 643"/>
              <a:gd name="T4" fmla="*/ 48 w 417"/>
              <a:gd name="T5" fmla="*/ 109 h 643"/>
              <a:gd name="T6" fmla="*/ 48 w 417"/>
              <a:gd name="T7" fmla="*/ 334 h 643"/>
              <a:gd name="T8" fmla="*/ 5 w 417"/>
              <a:gd name="T9" fmla="*/ 334 h 643"/>
              <a:gd name="T10" fmla="*/ 0 w 417"/>
              <a:gd name="T11" fmla="*/ 643 h 643"/>
              <a:gd name="T12" fmla="*/ 195 w 417"/>
              <a:gd name="T13" fmla="*/ 643 h 643"/>
              <a:gd name="T14" fmla="*/ 207 w 417"/>
              <a:gd name="T15" fmla="*/ 610 h 643"/>
              <a:gd name="T16" fmla="*/ 246 w 417"/>
              <a:gd name="T17" fmla="*/ 580 h 643"/>
              <a:gd name="T18" fmla="*/ 264 w 417"/>
              <a:gd name="T19" fmla="*/ 547 h 643"/>
              <a:gd name="T20" fmla="*/ 216 w 417"/>
              <a:gd name="T21" fmla="*/ 544 h 643"/>
              <a:gd name="T22" fmla="*/ 216 w 417"/>
              <a:gd name="T23" fmla="*/ 478 h 643"/>
              <a:gd name="T24" fmla="*/ 192 w 417"/>
              <a:gd name="T25" fmla="*/ 475 h 643"/>
              <a:gd name="T26" fmla="*/ 192 w 417"/>
              <a:gd name="T27" fmla="*/ 274 h 643"/>
              <a:gd name="T28" fmla="*/ 410 w 417"/>
              <a:gd name="T29" fmla="*/ 274 h 643"/>
              <a:gd name="T30" fmla="*/ 411 w 417"/>
              <a:gd name="T31" fmla="*/ 217 h 643"/>
              <a:gd name="T32" fmla="*/ 321 w 417"/>
              <a:gd name="T33" fmla="*/ 148 h 643"/>
              <a:gd name="T34" fmla="*/ 321 w 417"/>
              <a:gd name="T35" fmla="*/ 40 h 643"/>
              <a:gd name="T36" fmla="*/ 369 w 417"/>
              <a:gd name="T37" fmla="*/ 43 h 643"/>
              <a:gd name="T38" fmla="*/ 384 w 417"/>
              <a:gd name="T39" fmla="*/ 22 h 643"/>
              <a:gd name="T40" fmla="*/ 414 w 417"/>
              <a:gd name="T41" fmla="*/ 27 h 643"/>
              <a:gd name="T42" fmla="*/ 417 w 417"/>
              <a:gd name="T43" fmla="*/ 27 h 643"/>
              <a:gd name="T44" fmla="*/ 417 w 417"/>
              <a:gd name="T45" fmla="*/ 6 h 643"/>
              <a:gd name="T46" fmla="*/ 414 w 417"/>
              <a:gd name="T47" fmla="*/ 0 h 643"/>
              <a:gd name="T48" fmla="*/ 89 w 417"/>
              <a:gd name="T49" fmla="*/ 0 h 643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w 417"/>
              <a:gd name="T76" fmla="*/ 0 h 643"/>
              <a:gd name="T77" fmla="*/ 417 w 417"/>
              <a:gd name="T78" fmla="*/ 643 h 643"/>
            </a:gdLst>
            <a:ahLst/>
            <a:cxnLst>
              <a:cxn ang="T50">
                <a:pos x="T0" y="T1"/>
              </a:cxn>
              <a:cxn ang="T51">
                <a:pos x="T2" y="T3"/>
              </a:cxn>
              <a:cxn ang="T52">
                <a:pos x="T4" y="T5"/>
              </a:cxn>
              <a:cxn ang="T53">
                <a:pos x="T6" y="T7"/>
              </a:cxn>
              <a:cxn ang="T54">
                <a:pos x="T8" y="T9"/>
              </a:cxn>
              <a:cxn ang="T55">
                <a:pos x="T10" y="T11"/>
              </a:cxn>
              <a:cxn ang="T56">
                <a:pos x="T12" y="T13"/>
              </a:cxn>
              <a:cxn ang="T57">
                <a:pos x="T14" y="T15"/>
              </a:cxn>
              <a:cxn ang="T58">
                <a:pos x="T16" y="T17"/>
              </a:cxn>
              <a:cxn ang="T59">
                <a:pos x="T18" y="T19"/>
              </a:cxn>
              <a:cxn ang="T60">
                <a:pos x="T20" y="T21"/>
              </a:cxn>
              <a:cxn ang="T61">
                <a:pos x="T22" y="T23"/>
              </a:cxn>
              <a:cxn ang="T62">
                <a:pos x="T24" y="T25"/>
              </a:cxn>
              <a:cxn ang="T63">
                <a:pos x="T26" y="T27"/>
              </a:cxn>
              <a:cxn ang="T64">
                <a:pos x="T28" y="T29"/>
              </a:cxn>
              <a:cxn ang="T65">
                <a:pos x="T30" y="T31"/>
              </a:cxn>
              <a:cxn ang="T66">
                <a:pos x="T32" y="T33"/>
              </a:cxn>
              <a:cxn ang="T67">
                <a:pos x="T34" y="T35"/>
              </a:cxn>
              <a:cxn ang="T68">
                <a:pos x="T36" y="T37"/>
              </a:cxn>
              <a:cxn ang="T69">
                <a:pos x="T38" y="T39"/>
              </a:cxn>
              <a:cxn ang="T70">
                <a:pos x="T40" y="T41"/>
              </a:cxn>
              <a:cxn ang="T71">
                <a:pos x="T42" y="T43"/>
              </a:cxn>
              <a:cxn ang="T72">
                <a:pos x="T44" y="T45"/>
              </a:cxn>
              <a:cxn ang="T73">
                <a:pos x="T46" y="T47"/>
              </a:cxn>
              <a:cxn ang="T74">
                <a:pos x="T48" y="T49"/>
              </a:cxn>
            </a:cxnLst>
            <a:rect l="T75" t="T76" r="T77" b="T78"/>
            <a:pathLst>
              <a:path w="417" h="643">
                <a:moveTo>
                  <a:pt x="89" y="0"/>
                </a:moveTo>
                <a:lnTo>
                  <a:pt x="90" y="118"/>
                </a:lnTo>
                <a:lnTo>
                  <a:pt x="48" y="109"/>
                </a:lnTo>
                <a:lnTo>
                  <a:pt x="48" y="334"/>
                </a:lnTo>
                <a:lnTo>
                  <a:pt x="5" y="334"/>
                </a:lnTo>
                <a:lnTo>
                  <a:pt x="0" y="643"/>
                </a:lnTo>
                <a:lnTo>
                  <a:pt x="195" y="643"/>
                </a:lnTo>
                <a:lnTo>
                  <a:pt x="207" y="610"/>
                </a:lnTo>
                <a:lnTo>
                  <a:pt x="246" y="580"/>
                </a:lnTo>
                <a:lnTo>
                  <a:pt x="264" y="547"/>
                </a:lnTo>
                <a:lnTo>
                  <a:pt x="216" y="544"/>
                </a:lnTo>
                <a:lnTo>
                  <a:pt x="216" y="478"/>
                </a:lnTo>
                <a:lnTo>
                  <a:pt x="192" y="475"/>
                </a:lnTo>
                <a:lnTo>
                  <a:pt x="192" y="274"/>
                </a:lnTo>
                <a:lnTo>
                  <a:pt x="410" y="274"/>
                </a:lnTo>
                <a:lnTo>
                  <a:pt x="411" y="217"/>
                </a:lnTo>
                <a:lnTo>
                  <a:pt x="321" y="148"/>
                </a:lnTo>
                <a:lnTo>
                  <a:pt x="321" y="40"/>
                </a:lnTo>
                <a:lnTo>
                  <a:pt x="369" y="43"/>
                </a:lnTo>
                <a:lnTo>
                  <a:pt x="384" y="22"/>
                </a:lnTo>
                <a:lnTo>
                  <a:pt x="414" y="27"/>
                </a:lnTo>
                <a:lnTo>
                  <a:pt x="417" y="27"/>
                </a:lnTo>
                <a:lnTo>
                  <a:pt x="417" y="6"/>
                </a:lnTo>
                <a:lnTo>
                  <a:pt x="414" y="0"/>
                </a:lnTo>
                <a:lnTo>
                  <a:pt x="89" y="0"/>
                </a:lnTo>
                <a:close/>
              </a:path>
            </a:pathLst>
          </a:custGeom>
          <a:noFill/>
          <a:ln w="9525" cap="flat" cmpd="sng">
            <a:solidFill>
              <a:srgbClr val="333399"/>
            </a:solidFill>
            <a:prstDash val="sysDot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1030" name="Freeform 1854">
            <a:extLst>
              <a:ext uri="{FF2B5EF4-FFF2-40B4-BE49-F238E27FC236}">
                <a16:creationId xmlns:a16="http://schemas.microsoft.com/office/drawing/2014/main" id="{00000000-0008-0000-0800-000046110300}"/>
              </a:ext>
            </a:extLst>
          </xdr:cNvPr>
          <xdr:cNvSpPr>
            <a:spLocks/>
          </xdr:cNvSpPr>
        </xdr:nvSpPr>
        <xdr:spPr bwMode="auto">
          <a:xfrm>
            <a:off x="1599" y="2178"/>
            <a:ext cx="197" cy="59"/>
          </a:xfrm>
          <a:custGeom>
            <a:avLst/>
            <a:gdLst>
              <a:gd name="T0" fmla="*/ 0 w 197"/>
              <a:gd name="T1" fmla="*/ 51 h 59"/>
              <a:gd name="T2" fmla="*/ 0 w 197"/>
              <a:gd name="T3" fmla="*/ 0 h 59"/>
              <a:gd name="T4" fmla="*/ 197 w 197"/>
              <a:gd name="T5" fmla="*/ 0 h 59"/>
              <a:gd name="T6" fmla="*/ 195 w 197"/>
              <a:gd name="T7" fmla="*/ 59 h 59"/>
              <a:gd name="T8" fmla="*/ 0 w 197"/>
              <a:gd name="T9" fmla="*/ 51 h 59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  <a:gd name="T15" fmla="*/ 0 w 197"/>
              <a:gd name="T16" fmla="*/ 0 h 59"/>
              <a:gd name="T17" fmla="*/ 197 w 197"/>
              <a:gd name="T18" fmla="*/ 59 h 59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T15" t="T16" r="T17" b="T18"/>
            <a:pathLst>
              <a:path w="197" h="59">
                <a:moveTo>
                  <a:pt x="0" y="51"/>
                </a:moveTo>
                <a:lnTo>
                  <a:pt x="0" y="0"/>
                </a:lnTo>
                <a:lnTo>
                  <a:pt x="197" y="0"/>
                </a:lnTo>
                <a:lnTo>
                  <a:pt x="195" y="59"/>
                </a:lnTo>
                <a:lnTo>
                  <a:pt x="0" y="51"/>
                </a:lnTo>
                <a:close/>
              </a:path>
            </a:pathLst>
          </a:custGeom>
          <a:noFill/>
          <a:ln w="9525" cap="flat" cmpd="sng">
            <a:solidFill>
              <a:srgbClr val="333399"/>
            </a:solidFill>
            <a:prstDash val="sysDot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1031" name="Freeform 1855">
            <a:extLst>
              <a:ext uri="{FF2B5EF4-FFF2-40B4-BE49-F238E27FC236}">
                <a16:creationId xmlns:a16="http://schemas.microsoft.com/office/drawing/2014/main" id="{00000000-0008-0000-0800-000047110300}"/>
              </a:ext>
            </a:extLst>
          </xdr:cNvPr>
          <xdr:cNvSpPr>
            <a:spLocks/>
          </xdr:cNvSpPr>
        </xdr:nvSpPr>
        <xdr:spPr bwMode="auto">
          <a:xfrm>
            <a:off x="288" y="2400"/>
            <a:ext cx="1104" cy="384"/>
          </a:xfrm>
          <a:custGeom>
            <a:avLst/>
            <a:gdLst>
              <a:gd name="T0" fmla="*/ 0 w 1104"/>
              <a:gd name="T1" fmla="*/ 0 h 384"/>
              <a:gd name="T2" fmla="*/ 0 w 1104"/>
              <a:gd name="T3" fmla="*/ 336 h 384"/>
              <a:gd name="T4" fmla="*/ 1104 w 1104"/>
              <a:gd name="T5" fmla="*/ 384 h 384"/>
              <a:gd name="T6" fmla="*/ 144 w 1104"/>
              <a:gd name="T7" fmla="*/ 0 h 384"/>
              <a:gd name="T8" fmla="*/ 0 60000 65536"/>
              <a:gd name="T9" fmla="*/ 0 60000 65536"/>
              <a:gd name="T10" fmla="*/ 0 60000 65536"/>
              <a:gd name="T11" fmla="*/ 0 60000 65536"/>
              <a:gd name="T12" fmla="*/ 0 w 1104"/>
              <a:gd name="T13" fmla="*/ 0 h 384"/>
              <a:gd name="T14" fmla="*/ 1104 w 1104"/>
              <a:gd name="T15" fmla="*/ 384 h 384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1104" h="384">
                <a:moveTo>
                  <a:pt x="0" y="0"/>
                </a:moveTo>
                <a:lnTo>
                  <a:pt x="0" y="336"/>
                </a:lnTo>
                <a:lnTo>
                  <a:pt x="1104" y="384"/>
                </a:lnTo>
                <a:lnTo>
                  <a:pt x="144" y="0"/>
                </a:lnTo>
              </a:path>
            </a:pathLst>
          </a:cu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 cap="flat" cmpd="sng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  <xdr:sp macro="" textlink="">
        <xdr:nvSpPr>
          <xdr:cNvPr id="201032" name="Freeform 1856">
            <a:extLst>
              <a:ext uri="{FF2B5EF4-FFF2-40B4-BE49-F238E27FC236}">
                <a16:creationId xmlns:a16="http://schemas.microsoft.com/office/drawing/2014/main" id="{00000000-0008-0000-0800-000048110300}"/>
              </a:ext>
            </a:extLst>
          </xdr:cNvPr>
          <xdr:cNvSpPr>
            <a:spLocks/>
          </xdr:cNvSpPr>
        </xdr:nvSpPr>
        <xdr:spPr bwMode="auto">
          <a:xfrm>
            <a:off x="282" y="2097"/>
            <a:ext cx="1217" cy="695"/>
          </a:xfrm>
          <a:custGeom>
            <a:avLst/>
            <a:gdLst>
              <a:gd name="T0" fmla="*/ 17 w 1217"/>
              <a:gd name="T1" fmla="*/ 313 h 695"/>
              <a:gd name="T2" fmla="*/ 0 w 1217"/>
              <a:gd name="T3" fmla="*/ 671 h 695"/>
              <a:gd name="T4" fmla="*/ 812 w 1217"/>
              <a:gd name="T5" fmla="*/ 691 h 695"/>
              <a:gd name="T6" fmla="*/ 1122 w 1217"/>
              <a:gd name="T7" fmla="*/ 695 h 695"/>
              <a:gd name="T8" fmla="*/ 1128 w 1217"/>
              <a:gd name="T9" fmla="*/ 470 h 695"/>
              <a:gd name="T10" fmla="*/ 1130 w 1217"/>
              <a:gd name="T11" fmla="*/ 362 h 695"/>
              <a:gd name="T12" fmla="*/ 1217 w 1217"/>
              <a:gd name="T13" fmla="*/ 361 h 695"/>
              <a:gd name="T14" fmla="*/ 1116 w 1217"/>
              <a:gd name="T15" fmla="*/ 38 h 695"/>
              <a:gd name="T16" fmla="*/ 1079 w 1217"/>
              <a:gd name="T17" fmla="*/ 36 h 695"/>
              <a:gd name="T18" fmla="*/ 884 w 1217"/>
              <a:gd name="T19" fmla="*/ 39 h 695"/>
              <a:gd name="T20" fmla="*/ 884 w 1217"/>
              <a:gd name="T21" fmla="*/ 0 h 695"/>
              <a:gd name="T22" fmla="*/ 809 w 1217"/>
              <a:gd name="T23" fmla="*/ 0 h 695"/>
              <a:gd name="T24" fmla="*/ 807 w 1217"/>
              <a:gd name="T25" fmla="*/ 29 h 695"/>
              <a:gd name="T26" fmla="*/ 363 w 1217"/>
              <a:gd name="T27" fmla="*/ 20 h 695"/>
              <a:gd name="T28" fmla="*/ 359 w 1217"/>
              <a:gd name="T29" fmla="*/ 317 h 695"/>
              <a:gd name="T30" fmla="*/ 17 w 1217"/>
              <a:gd name="T31" fmla="*/ 313 h 695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w 1217"/>
              <a:gd name="T49" fmla="*/ 0 h 695"/>
              <a:gd name="T50" fmla="*/ 1217 w 1217"/>
              <a:gd name="T51" fmla="*/ 695 h 695"/>
            </a:gdLst>
            <a:ahLst/>
            <a:cxnLst>
              <a:cxn ang="T32">
                <a:pos x="T0" y="T1"/>
              </a:cxn>
              <a:cxn ang="T33">
                <a:pos x="T2" y="T3"/>
              </a:cxn>
              <a:cxn ang="T34">
                <a:pos x="T4" y="T5"/>
              </a:cxn>
              <a:cxn ang="T35">
                <a:pos x="T6" y="T7"/>
              </a:cxn>
              <a:cxn ang="T36">
                <a:pos x="T8" y="T9"/>
              </a:cxn>
              <a:cxn ang="T37">
                <a:pos x="T10" y="T11"/>
              </a:cxn>
              <a:cxn ang="T38">
                <a:pos x="T12" y="T13"/>
              </a:cxn>
              <a:cxn ang="T39">
                <a:pos x="T14" y="T15"/>
              </a:cxn>
              <a:cxn ang="T40">
                <a:pos x="T16" y="T17"/>
              </a:cxn>
              <a:cxn ang="T41">
                <a:pos x="T18" y="T19"/>
              </a:cxn>
              <a:cxn ang="T42">
                <a:pos x="T20" y="T21"/>
              </a:cxn>
              <a:cxn ang="T43">
                <a:pos x="T22" y="T23"/>
              </a:cxn>
              <a:cxn ang="T44">
                <a:pos x="T24" y="T25"/>
              </a:cxn>
              <a:cxn ang="T45">
                <a:pos x="T26" y="T27"/>
              </a:cxn>
              <a:cxn ang="T46">
                <a:pos x="T28" y="T29"/>
              </a:cxn>
              <a:cxn ang="T47">
                <a:pos x="T30" y="T31"/>
              </a:cxn>
            </a:cxnLst>
            <a:rect l="T48" t="T49" r="T50" b="T51"/>
            <a:pathLst>
              <a:path w="1217" h="695">
                <a:moveTo>
                  <a:pt x="17" y="313"/>
                </a:moveTo>
                <a:lnTo>
                  <a:pt x="0" y="671"/>
                </a:lnTo>
                <a:lnTo>
                  <a:pt x="812" y="691"/>
                </a:lnTo>
                <a:lnTo>
                  <a:pt x="1122" y="695"/>
                </a:lnTo>
                <a:lnTo>
                  <a:pt x="1128" y="470"/>
                </a:lnTo>
                <a:lnTo>
                  <a:pt x="1130" y="362"/>
                </a:lnTo>
                <a:lnTo>
                  <a:pt x="1217" y="361"/>
                </a:lnTo>
                <a:lnTo>
                  <a:pt x="1116" y="38"/>
                </a:lnTo>
                <a:lnTo>
                  <a:pt x="1079" y="36"/>
                </a:lnTo>
                <a:lnTo>
                  <a:pt x="884" y="39"/>
                </a:lnTo>
                <a:lnTo>
                  <a:pt x="884" y="0"/>
                </a:lnTo>
                <a:lnTo>
                  <a:pt x="809" y="0"/>
                </a:lnTo>
                <a:lnTo>
                  <a:pt x="807" y="29"/>
                </a:lnTo>
                <a:lnTo>
                  <a:pt x="363" y="20"/>
                </a:lnTo>
                <a:lnTo>
                  <a:pt x="359" y="317"/>
                </a:lnTo>
                <a:lnTo>
                  <a:pt x="17" y="313"/>
                </a:lnTo>
                <a:close/>
              </a:path>
            </a:pathLst>
          </a:custGeom>
          <a:noFill/>
          <a:ln w="15875" cap="flat" cmpd="sng">
            <a:solidFill>
              <a:srgbClr val="CC000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8481" name="Text Box 1857">
            <a:extLst>
              <a:ext uri="{FF2B5EF4-FFF2-40B4-BE49-F238E27FC236}">
                <a16:creationId xmlns:a16="http://schemas.microsoft.com/office/drawing/2014/main" id="{00000000-0008-0000-0800-000041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10" y="2350"/>
            <a:ext cx="47" cy="7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3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482" name="Text Box 1858">
            <a:extLst>
              <a:ext uri="{FF2B5EF4-FFF2-40B4-BE49-F238E27FC236}">
                <a16:creationId xmlns:a16="http://schemas.microsoft.com/office/drawing/2014/main" id="{00000000-0008-0000-0800-000042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63" y="2676"/>
            <a:ext cx="253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QM-02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483" name="Text Box 1859">
            <a:extLst>
              <a:ext uri="{FF2B5EF4-FFF2-40B4-BE49-F238E27FC236}">
                <a16:creationId xmlns:a16="http://schemas.microsoft.com/office/drawing/2014/main" id="{00000000-0008-0000-0800-000043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63" y="2208"/>
            <a:ext cx="147" cy="6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7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Milan</a:t>
            </a: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484" name="Text Box 1860">
            <a:extLst>
              <a:ext uri="{FF2B5EF4-FFF2-40B4-BE49-F238E27FC236}">
                <a16:creationId xmlns:a16="http://schemas.microsoft.com/office/drawing/2014/main" id="{00000000-0008-0000-0800-000044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0" y="2291"/>
            <a:ext cx="171" cy="6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7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Grants</a:t>
            </a: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485" name="Text Box 1861">
            <a:extLst>
              <a:ext uri="{FF2B5EF4-FFF2-40B4-BE49-F238E27FC236}">
                <a16:creationId xmlns:a16="http://schemas.microsoft.com/office/drawing/2014/main" id="{00000000-0008-0000-0800-000045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2955"/>
            <a:ext cx="141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2-A                                             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01038" name="Freeform 1862">
            <a:extLst>
              <a:ext uri="{FF2B5EF4-FFF2-40B4-BE49-F238E27FC236}">
                <a16:creationId xmlns:a16="http://schemas.microsoft.com/office/drawing/2014/main" id="{00000000-0008-0000-0800-00004E110300}"/>
              </a:ext>
            </a:extLst>
          </xdr:cNvPr>
          <xdr:cNvSpPr>
            <a:spLocks/>
          </xdr:cNvSpPr>
        </xdr:nvSpPr>
        <xdr:spPr bwMode="auto">
          <a:xfrm>
            <a:off x="296" y="3003"/>
            <a:ext cx="106" cy="5"/>
          </a:xfrm>
          <a:custGeom>
            <a:avLst/>
            <a:gdLst>
              <a:gd name="T0" fmla="*/ 106 w 106"/>
              <a:gd name="T1" fmla="*/ 0 h 5"/>
              <a:gd name="T2" fmla="*/ 39 w 106"/>
              <a:gd name="T3" fmla="*/ 0 h 5"/>
              <a:gd name="T4" fmla="*/ 0 w 106"/>
              <a:gd name="T5" fmla="*/ 5 h 5"/>
              <a:gd name="T6" fmla="*/ 0 60000 65536"/>
              <a:gd name="T7" fmla="*/ 0 60000 65536"/>
              <a:gd name="T8" fmla="*/ 0 60000 65536"/>
              <a:gd name="T9" fmla="*/ 0 w 106"/>
              <a:gd name="T10" fmla="*/ 0 h 5"/>
              <a:gd name="T11" fmla="*/ 106 w 106"/>
              <a:gd name="T12" fmla="*/ 5 h 5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106" h="5">
                <a:moveTo>
                  <a:pt x="106" y="0"/>
                </a:moveTo>
                <a:lnTo>
                  <a:pt x="39" y="0"/>
                </a:lnTo>
                <a:lnTo>
                  <a:pt x="0" y="5"/>
                </a:lnTo>
              </a:path>
            </a:pathLst>
          </a:custGeom>
          <a:noFill/>
          <a:ln w="6350">
            <a:solidFill>
              <a:srgbClr val="000000"/>
            </a:solidFill>
            <a:round/>
            <a:headEnd/>
            <a:tailEnd type="triangle" w="sm" len="sm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8487" name="Text Box 1863">
            <a:extLst>
              <a:ext uri="{FF2B5EF4-FFF2-40B4-BE49-F238E27FC236}">
                <a16:creationId xmlns:a16="http://schemas.microsoft.com/office/drawing/2014/main" id="{00000000-0008-0000-0800-000047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51" y="2908"/>
            <a:ext cx="53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2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488" name="Text Box 1864">
            <a:extLst>
              <a:ext uri="{FF2B5EF4-FFF2-40B4-BE49-F238E27FC236}">
                <a16:creationId xmlns:a16="http://schemas.microsoft.com/office/drawing/2014/main" id="{00000000-0008-0000-0800-000048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10" y="3661"/>
            <a:ext cx="53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1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489" name="Text Box 1865">
            <a:extLst>
              <a:ext uri="{FF2B5EF4-FFF2-40B4-BE49-F238E27FC236}">
                <a16:creationId xmlns:a16="http://schemas.microsoft.com/office/drawing/2014/main" id="{00000000-0008-0000-0800-000049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09" y="3756"/>
            <a:ext cx="194" cy="6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7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Reserve</a:t>
            </a: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490" name="Text Box 1866">
            <a:extLst>
              <a:ext uri="{FF2B5EF4-FFF2-40B4-BE49-F238E27FC236}">
                <a16:creationId xmlns:a16="http://schemas.microsoft.com/office/drawing/2014/main" id="{00000000-0008-0000-0800-00004A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51" y="3074"/>
            <a:ext cx="271" cy="6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7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Magdalena</a:t>
            </a: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491" name="Text Box 1867">
            <a:extLst>
              <a:ext uri="{FF2B5EF4-FFF2-40B4-BE49-F238E27FC236}">
                <a16:creationId xmlns:a16="http://schemas.microsoft.com/office/drawing/2014/main" id="{00000000-0008-0000-0800-00004B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564" y="3240"/>
            <a:ext cx="194" cy="7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7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Socorro</a:t>
            </a: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492" name="Text Box 1868">
            <a:extLst>
              <a:ext uri="{FF2B5EF4-FFF2-40B4-BE49-F238E27FC236}">
                <a16:creationId xmlns:a16="http://schemas.microsoft.com/office/drawing/2014/main" id="{00000000-0008-0000-0800-00004C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99" y="3216"/>
            <a:ext cx="100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12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493" name="Text Box 1869">
            <a:extLst>
              <a:ext uri="{FF2B5EF4-FFF2-40B4-BE49-F238E27FC236}">
                <a16:creationId xmlns:a16="http://schemas.microsoft.com/office/drawing/2014/main" id="{00000000-0008-0000-0800-00004D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534" y="2925"/>
            <a:ext cx="47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5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494" name="Text Box 1870">
            <a:extLst>
              <a:ext uri="{FF2B5EF4-FFF2-40B4-BE49-F238E27FC236}">
                <a16:creationId xmlns:a16="http://schemas.microsoft.com/office/drawing/2014/main" id="{00000000-0008-0000-0800-00004E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823" y="3121"/>
            <a:ext cx="147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13-T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495" name="Text Box 1871">
            <a:extLst>
              <a:ext uri="{FF2B5EF4-FFF2-40B4-BE49-F238E27FC236}">
                <a16:creationId xmlns:a16="http://schemas.microsoft.com/office/drawing/2014/main" id="{00000000-0008-0000-0800-00004F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581" y="3602"/>
            <a:ext cx="53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1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01048" name="Freeform 1872">
            <a:extLst>
              <a:ext uri="{FF2B5EF4-FFF2-40B4-BE49-F238E27FC236}">
                <a16:creationId xmlns:a16="http://schemas.microsoft.com/office/drawing/2014/main" id="{00000000-0008-0000-0800-000058110300}"/>
              </a:ext>
            </a:extLst>
          </xdr:cNvPr>
          <xdr:cNvSpPr>
            <a:spLocks/>
          </xdr:cNvSpPr>
        </xdr:nvSpPr>
        <xdr:spPr bwMode="auto">
          <a:xfrm>
            <a:off x="1216" y="2800"/>
            <a:ext cx="299" cy="984"/>
          </a:xfrm>
          <a:custGeom>
            <a:avLst/>
            <a:gdLst>
              <a:gd name="T0" fmla="*/ 116 w 299"/>
              <a:gd name="T1" fmla="*/ 0 h 984"/>
              <a:gd name="T2" fmla="*/ 116 w 299"/>
              <a:gd name="T3" fmla="*/ 61 h 984"/>
              <a:gd name="T4" fmla="*/ 187 w 299"/>
              <a:gd name="T5" fmla="*/ 61 h 984"/>
              <a:gd name="T6" fmla="*/ 187 w 299"/>
              <a:gd name="T7" fmla="*/ 194 h 984"/>
              <a:gd name="T8" fmla="*/ 244 w 299"/>
              <a:gd name="T9" fmla="*/ 194 h 984"/>
              <a:gd name="T10" fmla="*/ 242 w 299"/>
              <a:gd name="T11" fmla="*/ 403 h 984"/>
              <a:gd name="T12" fmla="*/ 299 w 299"/>
              <a:gd name="T13" fmla="*/ 403 h 984"/>
              <a:gd name="T14" fmla="*/ 299 w 299"/>
              <a:gd name="T15" fmla="*/ 440 h 984"/>
              <a:gd name="T16" fmla="*/ 235 w 299"/>
              <a:gd name="T17" fmla="*/ 440 h 984"/>
              <a:gd name="T18" fmla="*/ 235 w 299"/>
              <a:gd name="T19" fmla="*/ 475 h 984"/>
              <a:gd name="T20" fmla="*/ 268 w 299"/>
              <a:gd name="T21" fmla="*/ 475 h 984"/>
              <a:gd name="T22" fmla="*/ 268 w 299"/>
              <a:gd name="T23" fmla="*/ 455 h 984"/>
              <a:gd name="T24" fmla="*/ 293 w 299"/>
              <a:gd name="T25" fmla="*/ 455 h 984"/>
              <a:gd name="T26" fmla="*/ 293 w 299"/>
              <a:gd name="T27" fmla="*/ 559 h 984"/>
              <a:gd name="T28" fmla="*/ 158 w 299"/>
              <a:gd name="T29" fmla="*/ 559 h 984"/>
              <a:gd name="T30" fmla="*/ 160 w 299"/>
              <a:gd name="T31" fmla="*/ 712 h 984"/>
              <a:gd name="T32" fmla="*/ 4 w 299"/>
              <a:gd name="T33" fmla="*/ 712 h 984"/>
              <a:gd name="T34" fmla="*/ 0 w 299"/>
              <a:gd name="T35" fmla="*/ 984 h 984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w 299"/>
              <a:gd name="T55" fmla="*/ 0 h 984"/>
              <a:gd name="T56" fmla="*/ 299 w 299"/>
              <a:gd name="T57" fmla="*/ 984 h 984"/>
            </a:gdLst>
            <a:ahLst/>
            <a:cxnLst>
              <a:cxn ang="T36">
                <a:pos x="T0" y="T1"/>
              </a:cxn>
              <a:cxn ang="T37">
                <a:pos x="T2" y="T3"/>
              </a:cxn>
              <a:cxn ang="T38">
                <a:pos x="T4" y="T5"/>
              </a:cxn>
              <a:cxn ang="T39">
                <a:pos x="T6" y="T7"/>
              </a:cxn>
              <a:cxn ang="T40">
                <a:pos x="T8" y="T9"/>
              </a:cxn>
              <a:cxn ang="T41">
                <a:pos x="T10" y="T11"/>
              </a:cxn>
              <a:cxn ang="T42">
                <a:pos x="T12" y="T13"/>
              </a:cxn>
              <a:cxn ang="T43">
                <a:pos x="T14" y="T15"/>
              </a:cxn>
              <a:cxn ang="T44">
                <a:pos x="T16" y="T17"/>
              </a:cxn>
              <a:cxn ang="T45">
                <a:pos x="T18" y="T19"/>
              </a:cxn>
              <a:cxn ang="T46">
                <a:pos x="T20" y="T21"/>
              </a:cxn>
              <a:cxn ang="T47">
                <a:pos x="T22" y="T23"/>
              </a:cxn>
              <a:cxn ang="T48">
                <a:pos x="T24" y="T25"/>
              </a:cxn>
              <a:cxn ang="T49">
                <a:pos x="T26" y="T27"/>
              </a:cxn>
              <a:cxn ang="T50">
                <a:pos x="T28" y="T29"/>
              </a:cxn>
              <a:cxn ang="T51">
                <a:pos x="T30" y="T31"/>
              </a:cxn>
              <a:cxn ang="T52">
                <a:pos x="T32" y="T33"/>
              </a:cxn>
              <a:cxn ang="T53">
                <a:pos x="T34" y="T35"/>
              </a:cxn>
            </a:cxnLst>
            <a:rect l="T54" t="T55" r="T56" b="T57"/>
            <a:pathLst>
              <a:path w="299" h="984">
                <a:moveTo>
                  <a:pt x="116" y="0"/>
                </a:moveTo>
                <a:lnTo>
                  <a:pt x="116" y="61"/>
                </a:lnTo>
                <a:lnTo>
                  <a:pt x="187" y="61"/>
                </a:lnTo>
                <a:lnTo>
                  <a:pt x="187" y="194"/>
                </a:lnTo>
                <a:lnTo>
                  <a:pt x="244" y="194"/>
                </a:lnTo>
                <a:lnTo>
                  <a:pt x="242" y="403"/>
                </a:lnTo>
                <a:lnTo>
                  <a:pt x="299" y="403"/>
                </a:lnTo>
                <a:lnTo>
                  <a:pt x="299" y="440"/>
                </a:lnTo>
                <a:lnTo>
                  <a:pt x="235" y="440"/>
                </a:lnTo>
                <a:lnTo>
                  <a:pt x="235" y="475"/>
                </a:lnTo>
                <a:lnTo>
                  <a:pt x="268" y="475"/>
                </a:lnTo>
                <a:lnTo>
                  <a:pt x="268" y="455"/>
                </a:lnTo>
                <a:lnTo>
                  <a:pt x="293" y="455"/>
                </a:lnTo>
                <a:lnTo>
                  <a:pt x="293" y="559"/>
                </a:lnTo>
                <a:lnTo>
                  <a:pt x="158" y="559"/>
                </a:lnTo>
                <a:lnTo>
                  <a:pt x="160" y="712"/>
                </a:lnTo>
                <a:lnTo>
                  <a:pt x="4" y="712"/>
                </a:lnTo>
                <a:lnTo>
                  <a:pt x="0" y="984"/>
                </a:lnTo>
              </a:path>
            </a:pathLst>
          </a:custGeom>
          <a:noFill/>
          <a:ln w="9525" cap="flat" cmpd="sng">
            <a:solidFill>
              <a:srgbClr val="333399"/>
            </a:solidFill>
            <a:prstDash val="sysDot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1049" name="Freeform 1873">
            <a:extLst>
              <a:ext uri="{FF2B5EF4-FFF2-40B4-BE49-F238E27FC236}">
                <a16:creationId xmlns:a16="http://schemas.microsoft.com/office/drawing/2014/main" id="{00000000-0008-0000-0800-000059110300}"/>
              </a:ext>
            </a:extLst>
          </xdr:cNvPr>
          <xdr:cNvSpPr>
            <a:spLocks/>
          </xdr:cNvSpPr>
        </xdr:nvSpPr>
        <xdr:spPr bwMode="auto">
          <a:xfrm>
            <a:off x="1460" y="2910"/>
            <a:ext cx="348" cy="161"/>
          </a:xfrm>
          <a:custGeom>
            <a:avLst/>
            <a:gdLst>
              <a:gd name="T0" fmla="*/ 1 w 348"/>
              <a:gd name="T1" fmla="*/ 86 h 161"/>
              <a:gd name="T2" fmla="*/ 0 w 348"/>
              <a:gd name="T3" fmla="*/ 140 h 161"/>
              <a:gd name="T4" fmla="*/ 121 w 348"/>
              <a:gd name="T5" fmla="*/ 140 h 161"/>
              <a:gd name="T6" fmla="*/ 121 w 348"/>
              <a:gd name="T7" fmla="*/ 161 h 161"/>
              <a:gd name="T8" fmla="*/ 159 w 348"/>
              <a:gd name="T9" fmla="*/ 161 h 161"/>
              <a:gd name="T10" fmla="*/ 159 w 348"/>
              <a:gd name="T11" fmla="*/ 143 h 161"/>
              <a:gd name="T12" fmla="*/ 334 w 348"/>
              <a:gd name="T13" fmla="*/ 144 h 161"/>
              <a:gd name="T14" fmla="*/ 336 w 348"/>
              <a:gd name="T15" fmla="*/ 125 h 161"/>
              <a:gd name="T16" fmla="*/ 342 w 348"/>
              <a:gd name="T17" fmla="*/ 110 h 161"/>
              <a:gd name="T18" fmla="*/ 342 w 348"/>
              <a:gd name="T19" fmla="*/ 86 h 161"/>
              <a:gd name="T20" fmla="*/ 348 w 348"/>
              <a:gd name="T21" fmla="*/ 58 h 161"/>
              <a:gd name="T22" fmla="*/ 345 w 348"/>
              <a:gd name="T23" fmla="*/ 0 h 161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w 348"/>
              <a:gd name="T37" fmla="*/ 0 h 161"/>
              <a:gd name="T38" fmla="*/ 348 w 348"/>
              <a:gd name="T39" fmla="*/ 161 h 161"/>
            </a:gdLst>
            <a:ahLst/>
            <a:cxnLst>
              <a:cxn ang="T24">
                <a:pos x="T0" y="T1"/>
              </a:cxn>
              <a:cxn ang="T25">
                <a:pos x="T2" y="T3"/>
              </a:cxn>
              <a:cxn ang="T26">
                <a:pos x="T4" y="T5"/>
              </a:cxn>
              <a:cxn ang="T27">
                <a:pos x="T6" y="T7"/>
              </a:cxn>
              <a:cxn ang="T28">
                <a:pos x="T8" y="T9"/>
              </a:cxn>
              <a:cxn ang="T29">
                <a:pos x="T10" y="T11"/>
              </a:cxn>
              <a:cxn ang="T30">
                <a:pos x="T12" y="T13"/>
              </a:cxn>
              <a:cxn ang="T31">
                <a:pos x="T14" y="T15"/>
              </a:cxn>
              <a:cxn ang="T32">
                <a:pos x="T16" y="T17"/>
              </a:cxn>
              <a:cxn ang="T33">
                <a:pos x="T18" y="T19"/>
              </a:cxn>
              <a:cxn ang="T34">
                <a:pos x="T20" y="T21"/>
              </a:cxn>
              <a:cxn ang="T35">
                <a:pos x="T22" y="T23"/>
              </a:cxn>
            </a:cxnLst>
            <a:rect l="T36" t="T37" r="T38" b="T39"/>
            <a:pathLst>
              <a:path w="348" h="161">
                <a:moveTo>
                  <a:pt x="1" y="86"/>
                </a:moveTo>
                <a:lnTo>
                  <a:pt x="0" y="140"/>
                </a:lnTo>
                <a:lnTo>
                  <a:pt x="121" y="140"/>
                </a:lnTo>
                <a:lnTo>
                  <a:pt x="121" y="161"/>
                </a:lnTo>
                <a:lnTo>
                  <a:pt x="159" y="161"/>
                </a:lnTo>
                <a:lnTo>
                  <a:pt x="159" y="143"/>
                </a:lnTo>
                <a:lnTo>
                  <a:pt x="334" y="144"/>
                </a:lnTo>
                <a:lnTo>
                  <a:pt x="336" y="125"/>
                </a:lnTo>
                <a:lnTo>
                  <a:pt x="342" y="110"/>
                </a:lnTo>
                <a:lnTo>
                  <a:pt x="342" y="86"/>
                </a:lnTo>
                <a:lnTo>
                  <a:pt x="348" y="58"/>
                </a:lnTo>
                <a:lnTo>
                  <a:pt x="345" y="0"/>
                </a:lnTo>
              </a:path>
            </a:pathLst>
          </a:custGeom>
          <a:noFill/>
          <a:ln w="9525" cap="flat" cmpd="sng">
            <a:solidFill>
              <a:srgbClr val="333399"/>
            </a:solidFill>
            <a:prstDash val="sysDot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8498" name="Text Box 1874">
            <a:extLst>
              <a:ext uri="{FF2B5EF4-FFF2-40B4-BE49-F238E27FC236}">
                <a16:creationId xmlns:a16="http://schemas.microsoft.com/office/drawing/2014/main" id="{00000000-0008-0000-0800-000052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681" y="4082"/>
            <a:ext cx="47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6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499" name="Text Box 1875">
            <a:extLst>
              <a:ext uri="{FF2B5EF4-FFF2-40B4-BE49-F238E27FC236}">
                <a16:creationId xmlns:a16="http://schemas.microsoft.com/office/drawing/2014/main" id="{00000000-0008-0000-0800-000053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10" y="3934"/>
            <a:ext cx="324" cy="7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7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Williamsburg</a:t>
            </a: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500" name="Text Box 1876">
            <a:extLst>
              <a:ext uri="{FF2B5EF4-FFF2-40B4-BE49-F238E27FC236}">
                <a16:creationId xmlns:a16="http://schemas.microsoft.com/office/drawing/2014/main" id="{00000000-0008-0000-0800-000054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99" y="3934"/>
            <a:ext cx="200" cy="7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7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Truth or</a:t>
            </a: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501" name="Text Box 1877">
            <a:extLst>
              <a:ext uri="{FF2B5EF4-FFF2-40B4-BE49-F238E27FC236}">
                <a16:creationId xmlns:a16="http://schemas.microsoft.com/office/drawing/2014/main" id="{00000000-0008-0000-0800-000055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99" y="3981"/>
            <a:ext cx="330" cy="7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7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Consequences</a:t>
            </a: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502" name="Text Box 1878">
            <a:extLst>
              <a:ext uri="{FF2B5EF4-FFF2-40B4-BE49-F238E27FC236}">
                <a16:creationId xmlns:a16="http://schemas.microsoft.com/office/drawing/2014/main" id="{00000000-0008-0000-0800-000056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86" y="4130"/>
            <a:ext cx="47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2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503" name="Text Box 1879">
            <a:extLst>
              <a:ext uri="{FF2B5EF4-FFF2-40B4-BE49-F238E27FC236}">
                <a16:creationId xmlns:a16="http://schemas.microsoft.com/office/drawing/2014/main" id="{00000000-0008-0000-0800-000057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74" y="4563"/>
            <a:ext cx="47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1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504" name="Text Box 1880">
            <a:extLst>
              <a:ext uri="{FF2B5EF4-FFF2-40B4-BE49-F238E27FC236}">
                <a16:creationId xmlns:a16="http://schemas.microsoft.com/office/drawing/2014/main" id="{00000000-0008-0000-0800-000058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09" y="4753"/>
            <a:ext cx="47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1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505" name="Text Box 1881">
            <a:extLst>
              <a:ext uri="{FF2B5EF4-FFF2-40B4-BE49-F238E27FC236}">
                <a16:creationId xmlns:a16="http://schemas.microsoft.com/office/drawing/2014/main" id="{00000000-0008-0000-0800-000059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39" y="5565"/>
            <a:ext cx="47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6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01058" name="Freeform 1882">
            <a:extLst>
              <a:ext uri="{FF2B5EF4-FFF2-40B4-BE49-F238E27FC236}">
                <a16:creationId xmlns:a16="http://schemas.microsoft.com/office/drawing/2014/main" id="{00000000-0008-0000-0800-000062110300}"/>
              </a:ext>
            </a:extLst>
          </xdr:cNvPr>
          <xdr:cNvSpPr>
            <a:spLocks/>
          </xdr:cNvSpPr>
        </xdr:nvSpPr>
        <xdr:spPr bwMode="auto">
          <a:xfrm>
            <a:off x="201" y="4944"/>
            <a:ext cx="330" cy="51"/>
          </a:xfrm>
          <a:custGeom>
            <a:avLst/>
            <a:gdLst>
              <a:gd name="T0" fmla="*/ 0 w 330"/>
              <a:gd name="T1" fmla="*/ 42 h 51"/>
              <a:gd name="T2" fmla="*/ 51 w 330"/>
              <a:gd name="T3" fmla="*/ 42 h 51"/>
              <a:gd name="T4" fmla="*/ 51 w 330"/>
              <a:gd name="T5" fmla="*/ 0 h 51"/>
              <a:gd name="T6" fmla="*/ 176 w 330"/>
              <a:gd name="T7" fmla="*/ 0 h 51"/>
              <a:gd name="T8" fmla="*/ 176 w 330"/>
              <a:gd name="T9" fmla="*/ 51 h 51"/>
              <a:gd name="T10" fmla="*/ 330 w 330"/>
              <a:gd name="T11" fmla="*/ 51 h 51"/>
              <a:gd name="T12" fmla="*/ 0 60000 65536"/>
              <a:gd name="T13" fmla="*/ 0 60000 65536"/>
              <a:gd name="T14" fmla="*/ 0 60000 65536"/>
              <a:gd name="T15" fmla="*/ 0 60000 65536"/>
              <a:gd name="T16" fmla="*/ 0 60000 65536"/>
              <a:gd name="T17" fmla="*/ 0 60000 65536"/>
              <a:gd name="T18" fmla="*/ 0 w 330"/>
              <a:gd name="T19" fmla="*/ 0 h 51"/>
              <a:gd name="T20" fmla="*/ 330 w 330"/>
              <a:gd name="T21" fmla="*/ 51 h 51"/>
            </a:gdLst>
            <a:ahLst/>
            <a:cxnLst>
              <a:cxn ang="T12">
                <a:pos x="T0" y="T1"/>
              </a:cxn>
              <a:cxn ang="T13">
                <a:pos x="T2" y="T3"/>
              </a:cxn>
              <a:cxn ang="T14">
                <a:pos x="T4" y="T5"/>
              </a:cxn>
              <a:cxn ang="T15">
                <a:pos x="T6" y="T7"/>
              </a:cxn>
              <a:cxn ang="T16">
                <a:pos x="T8" y="T9"/>
              </a:cxn>
              <a:cxn ang="T17">
                <a:pos x="T10" y="T11"/>
              </a:cxn>
            </a:cxnLst>
            <a:rect l="T18" t="T19" r="T20" b="T21"/>
            <a:pathLst>
              <a:path w="330" h="51">
                <a:moveTo>
                  <a:pt x="0" y="42"/>
                </a:moveTo>
                <a:lnTo>
                  <a:pt x="51" y="42"/>
                </a:lnTo>
                <a:lnTo>
                  <a:pt x="51" y="0"/>
                </a:lnTo>
                <a:lnTo>
                  <a:pt x="176" y="0"/>
                </a:lnTo>
                <a:lnTo>
                  <a:pt x="176" y="51"/>
                </a:lnTo>
                <a:lnTo>
                  <a:pt x="330" y="51"/>
                </a:lnTo>
              </a:path>
            </a:pathLst>
          </a:custGeom>
          <a:noFill/>
          <a:ln w="9525" cap="flat" cmpd="sng">
            <a:solidFill>
              <a:srgbClr val="333399"/>
            </a:solidFill>
            <a:prstDash val="sysDot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8507" name="Text Box 1883">
            <a:extLst>
              <a:ext uri="{FF2B5EF4-FFF2-40B4-BE49-F238E27FC236}">
                <a16:creationId xmlns:a16="http://schemas.microsoft.com/office/drawing/2014/main" id="{00000000-0008-0000-0800-00005B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09" y="4557"/>
            <a:ext cx="112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1-A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508" name="Text Box 1884">
            <a:extLst>
              <a:ext uri="{FF2B5EF4-FFF2-40B4-BE49-F238E27FC236}">
                <a16:creationId xmlns:a16="http://schemas.microsoft.com/office/drawing/2014/main" id="{00000000-0008-0000-0800-00005C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62" y="4616"/>
            <a:ext cx="194" cy="6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7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Virden</a:t>
            </a: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01061" name="Line 1885">
            <a:extLst>
              <a:ext uri="{FF2B5EF4-FFF2-40B4-BE49-F238E27FC236}">
                <a16:creationId xmlns:a16="http://schemas.microsoft.com/office/drawing/2014/main" id="{00000000-0008-0000-0800-0000651103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240" y="4512"/>
            <a:ext cx="48" cy="96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 type="triangl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8510" name="Text Box 1886">
            <a:extLst>
              <a:ext uri="{FF2B5EF4-FFF2-40B4-BE49-F238E27FC236}">
                <a16:creationId xmlns:a16="http://schemas.microsoft.com/office/drawing/2014/main" id="{00000000-0008-0000-0800-00005E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39" y="4854"/>
            <a:ext cx="253" cy="6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7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Lordsburg</a:t>
            </a: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511" name="Text Box 1887">
            <a:extLst>
              <a:ext uri="{FF2B5EF4-FFF2-40B4-BE49-F238E27FC236}">
                <a16:creationId xmlns:a16="http://schemas.microsoft.com/office/drawing/2014/main" id="{00000000-0008-0000-0800-00005F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80" y="4320"/>
            <a:ext cx="147" cy="6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7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Silver</a:t>
            </a: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512" name="Text Box 1888">
            <a:extLst>
              <a:ext uri="{FF2B5EF4-FFF2-40B4-BE49-F238E27FC236}">
                <a16:creationId xmlns:a16="http://schemas.microsoft.com/office/drawing/2014/main" id="{00000000-0008-0000-0800-000060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86" y="4379"/>
            <a:ext cx="112" cy="6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7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City</a:t>
            </a: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513" name="Text Box 1889">
            <a:extLst>
              <a:ext uri="{FF2B5EF4-FFF2-40B4-BE49-F238E27FC236}">
                <a16:creationId xmlns:a16="http://schemas.microsoft.com/office/drawing/2014/main" id="{00000000-0008-0000-0800-000061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51" y="4284"/>
            <a:ext cx="141" cy="6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7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Santa</a:t>
            </a: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514" name="Text Box 1890">
            <a:extLst>
              <a:ext uri="{FF2B5EF4-FFF2-40B4-BE49-F238E27FC236}">
                <a16:creationId xmlns:a16="http://schemas.microsoft.com/office/drawing/2014/main" id="{00000000-0008-0000-0800-000062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45" y="4355"/>
            <a:ext cx="147" cy="6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7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Clara</a:t>
            </a: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515" name="Text Box 1891">
            <a:extLst>
              <a:ext uri="{FF2B5EF4-FFF2-40B4-BE49-F238E27FC236}">
                <a16:creationId xmlns:a16="http://schemas.microsoft.com/office/drawing/2014/main" id="{00000000-0008-0000-0800-000063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3" y="4420"/>
            <a:ext cx="177" cy="6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7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Bayard</a:t>
            </a: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516" name="Text Box 1892">
            <a:extLst>
              <a:ext uri="{FF2B5EF4-FFF2-40B4-BE49-F238E27FC236}">
                <a16:creationId xmlns:a16="http://schemas.microsoft.com/office/drawing/2014/main" id="{00000000-0008-0000-0800-000064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" y="4498"/>
            <a:ext cx="171" cy="6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7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Hurley</a:t>
            </a: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517" name="Text Box 1893">
            <a:extLst>
              <a:ext uri="{FF2B5EF4-FFF2-40B4-BE49-F238E27FC236}">
                <a16:creationId xmlns:a16="http://schemas.microsoft.com/office/drawing/2014/main" id="{00000000-0008-0000-0800-000065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10" y="4320"/>
            <a:ext cx="100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2C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518" name="Text Box 1894">
            <a:extLst>
              <a:ext uri="{FF2B5EF4-FFF2-40B4-BE49-F238E27FC236}">
                <a16:creationId xmlns:a16="http://schemas.microsoft.com/office/drawing/2014/main" id="{00000000-0008-0000-0800-000066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34" y="4420"/>
            <a:ext cx="100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2B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519" name="Text Box 1895">
            <a:extLst>
              <a:ext uri="{FF2B5EF4-FFF2-40B4-BE49-F238E27FC236}">
                <a16:creationId xmlns:a16="http://schemas.microsoft.com/office/drawing/2014/main" id="{00000000-0008-0000-0800-000067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28" y="4486"/>
            <a:ext cx="100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2H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01072" name="Freeform 1896">
            <a:extLst>
              <a:ext uri="{FF2B5EF4-FFF2-40B4-BE49-F238E27FC236}">
                <a16:creationId xmlns:a16="http://schemas.microsoft.com/office/drawing/2014/main" id="{00000000-0008-0000-0800-000070110300}"/>
              </a:ext>
            </a:extLst>
          </xdr:cNvPr>
          <xdr:cNvSpPr>
            <a:spLocks/>
          </xdr:cNvSpPr>
        </xdr:nvSpPr>
        <xdr:spPr bwMode="auto">
          <a:xfrm>
            <a:off x="309" y="2106"/>
            <a:ext cx="305" cy="317"/>
          </a:xfrm>
          <a:custGeom>
            <a:avLst/>
            <a:gdLst>
              <a:gd name="T0" fmla="*/ 0 w 305"/>
              <a:gd name="T1" fmla="*/ 111 h 317"/>
              <a:gd name="T2" fmla="*/ 81 w 305"/>
              <a:gd name="T3" fmla="*/ 111 h 317"/>
              <a:gd name="T4" fmla="*/ 84 w 305"/>
              <a:gd name="T5" fmla="*/ 132 h 317"/>
              <a:gd name="T6" fmla="*/ 98 w 305"/>
              <a:gd name="T7" fmla="*/ 120 h 317"/>
              <a:gd name="T8" fmla="*/ 119 w 305"/>
              <a:gd name="T9" fmla="*/ 126 h 317"/>
              <a:gd name="T10" fmla="*/ 123 w 305"/>
              <a:gd name="T11" fmla="*/ 150 h 317"/>
              <a:gd name="T12" fmla="*/ 114 w 305"/>
              <a:gd name="T13" fmla="*/ 179 h 317"/>
              <a:gd name="T14" fmla="*/ 153 w 305"/>
              <a:gd name="T15" fmla="*/ 162 h 317"/>
              <a:gd name="T16" fmla="*/ 153 w 305"/>
              <a:gd name="T17" fmla="*/ 98 h 317"/>
              <a:gd name="T18" fmla="*/ 162 w 305"/>
              <a:gd name="T19" fmla="*/ 92 h 317"/>
              <a:gd name="T20" fmla="*/ 167 w 305"/>
              <a:gd name="T21" fmla="*/ 78 h 317"/>
              <a:gd name="T22" fmla="*/ 218 w 305"/>
              <a:gd name="T23" fmla="*/ 77 h 317"/>
              <a:gd name="T24" fmla="*/ 218 w 305"/>
              <a:gd name="T25" fmla="*/ 0 h 317"/>
              <a:gd name="T26" fmla="*/ 296 w 305"/>
              <a:gd name="T27" fmla="*/ 0 h 317"/>
              <a:gd name="T28" fmla="*/ 296 w 305"/>
              <a:gd name="T29" fmla="*/ 296 h 317"/>
              <a:gd name="T30" fmla="*/ 305 w 305"/>
              <a:gd name="T31" fmla="*/ 294 h 317"/>
              <a:gd name="T32" fmla="*/ 305 w 305"/>
              <a:gd name="T33" fmla="*/ 317 h 317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w 305"/>
              <a:gd name="T52" fmla="*/ 0 h 317"/>
              <a:gd name="T53" fmla="*/ 305 w 305"/>
              <a:gd name="T54" fmla="*/ 317 h 317"/>
            </a:gdLst>
            <a:ahLst/>
            <a:cxnLst>
              <a:cxn ang="T34">
                <a:pos x="T0" y="T1"/>
              </a:cxn>
              <a:cxn ang="T35">
                <a:pos x="T2" y="T3"/>
              </a:cxn>
              <a:cxn ang="T36">
                <a:pos x="T4" y="T5"/>
              </a:cxn>
              <a:cxn ang="T37">
                <a:pos x="T6" y="T7"/>
              </a:cxn>
              <a:cxn ang="T38">
                <a:pos x="T8" y="T9"/>
              </a:cxn>
              <a:cxn ang="T39">
                <a:pos x="T10" y="T11"/>
              </a:cxn>
              <a:cxn ang="T40">
                <a:pos x="T12" y="T13"/>
              </a:cxn>
              <a:cxn ang="T41">
                <a:pos x="T14" y="T15"/>
              </a:cxn>
              <a:cxn ang="T42">
                <a:pos x="T16" y="T17"/>
              </a:cxn>
              <a:cxn ang="T43">
                <a:pos x="T18" y="T19"/>
              </a:cxn>
              <a:cxn ang="T44">
                <a:pos x="T20" y="T21"/>
              </a:cxn>
              <a:cxn ang="T45">
                <a:pos x="T22" y="T23"/>
              </a:cxn>
              <a:cxn ang="T46">
                <a:pos x="T24" y="T25"/>
              </a:cxn>
              <a:cxn ang="T47">
                <a:pos x="T26" y="T27"/>
              </a:cxn>
              <a:cxn ang="T48">
                <a:pos x="T28" y="T29"/>
              </a:cxn>
              <a:cxn ang="T49">
                <a:pos x="T30" y="T31"/>
              </a:cxn>
              <a:cxn ang="T50">
                <a:pos x="T32" y="T33"/>
              </a:cxn>
            </a:cxnLst>
            <a:rect l="T51" t="T52" r="T53" b="T54"/>
            <a:pathLst>
              <a:path w="305" h="317">
                <a:moveTo>
                  <a:pt x="0" y="111"/>
                </a:moveTo>
                <a:lnTo>
                  <a:pt x="81" y="111"/>
                </a:lnTo>
                <a:lnTo>
                  <a:pt x="84" y="132"/>
                </a:lnTo>
                <a:lnTo>
                  <a:pt x="98" y="120"/>
                </a:lnTo>
                <a:lnTo>
                  <a:pt x="119" y="126"/>
                </a:lnTo>
                <a:lnTo>
                  <a:pt x="123" y="150"/>
                </a:lnTo>
                <a:lnTo>
                  <a:pt x="114" y="179"/>
                </a:lnTo>
                <a:lnTo>
                  <a:pt x="153" y="162"/>
                </a:lnTo>
                <a:lnTo>
                  <a:pt x="153" y="98"/>
                </a:lnTo>
                <a:lnTo>
                  <a:pt x="162" y="92"/>
                </a:lnTo>
                <a:lnTo>
                  <a:pt x="167" y="78"/>
                </a:lnTo>
                <a:lnTo>
                  <a:pt x="218" y="77"/>
                </a:lnTo>
                <a:lnTo>
                  <a:pt x="218" y="0"/>
                </a:lnTo>
                <a:lnTo>
                  <a:pt x="296" y="0"/>
                </a:lnTo>
                <a:lnTo>
                  <a:pt x="296" y="296"/>
                </a:lnTo>
                <a:lnTo>
                  <a:pt x="305" y="294"/>
                </a:lnTo>
                <a:lnTo>
                  <a:pt x="305" y="317"/>
                </a:lnTo>
              </a:path>
            </a:pathLst>
          </a:custGeom>
          <a:noFill/>
          <a:ln w="9525" cap="flat" cmpd="sng">
            <a:solidFill>
              <a:srgbClr val="333399"/>
            </a:solidFill>
            <a:prstDash val="sysDot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1073" name="Freeform 1897">
            <a:extLst>
              <a:ext uri="{FF2B5EF4-FFF2-40B4-BE49-F238E27FC236}">
                <a16:creationId xmlns:a16="http://schemas.microsoft.com/office/drawing/2014/main" id="{00000000-0008-0000-0800-000071110300}"/>
              </a:ext>
            </a:extLst>
          </xdr:cNvPr>
          <xdr:cNvSpPr>
            <a:spLocks/>
          </xdr:cNvSpPr>
        </xdr:nvSpPr>
        <xdr:spPr bwMode="auto">
          <a:xfrm>
            <a:off x="297" y="2659"/>
            <a:ext cx="792" cy="127"/>
          </a:xfrm>
          <a:custGeom>
            <a:avLst/>
            <a:gdLst>
              <a:gd name="T0" fmla="*/ 0 w 804"/>
              <a:gd name="T1" fmla="*/ 0 h 127"/>
              <a:gd name="T2" fmla="*/ 605 w 804"/>
              <a:gd name="T3" fmla="*/ 3 h 127"/>
              <a:gd name="T4" fmla="*/ 605 w 804"/>
              <a:gd name="T5" fmla="*/ 127 h 127"/>
              <a:gd name="T6" fmla="*/ 0 60000 65536"/>
              <a:gd name="T7" fmla="*/ 0 60000 65536"/>
              <a:gd name="T8" fmla="*/ 0 60000 65536"/>
              <a:gd name="T9" fmla="*/ 0 w 804"/>
              <a:gd name="T10" fmla="*/ 0 h 127"/>
              <a:gd name="T11" fmla="*/ 804 w 804"/>
              <a:gd name="T12" fmla="*/ 127 h 127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804" h="127">
                <a:moveTo>
                  <a:pt x="0" y="0"/>
                </a:moveTo>
                <a:lnTo>
                  <a:pt x="804" y="3"/>
                </a:lnTo>
                <a:lnTo>
                  <a:pt x="804" y="127"/>
                </a:lnTo>
              </a:path>
            </a:pathLst>
          </a:custGeom>
          <a:noFill/>
          <a:ln w="9525" cap="flat" cmpd="sng">
            <a:solidFill>
              <a:srgbClr val="333399"/>
            </a:solidFill>
            <a:prstDash val="sysDot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8522" name="Text Box 1898">
            <a:extLst>
              <a:ext uri="{FF2B5EF4-FFF2-40B4-BE49-F238E27FC236}">
                <a16:creationId xmlns:a16="http://schemas.microsoft.com/office/drawing/2014/main" id="{00000000-0008-0000-0800-00006A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517" y="2724"/>
            <a:ext cx="477" cy="17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lnSpc>
                <a:spcPts val="1200"/>
              </a:lnSpc>
              <a:defRPr sz="1000"/>
            </a:pPr>
            <a:r>
              <a:rPr lang="en-US" sz="12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County</a:t>
            </a:r>
          </a:p>
          <a:p>
            <a:pPr algn="l" rtl="0">
              <a:lnSpc>
                <a:spcPts val="1200"/>
              </a:lnSpc>
              <a:defRPr sz="1000"/>
            </a:pPr>
            <a:endPara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523" name="Text Box 1899">
            <a:extLst>
              <a:ext uri="{FF2B5EF4-FFF2-40B4-BE49-F238E27FC236}">
                <a16:creationId xmlns:a16="http://schemas.microsoft.com/office/drawing/2014/main" id="{00000000-0008-0000-0800-00006B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63" y="5008"/>
            <a:ext cx="188" cy="6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7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Deming</a:t>
            </a: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524" name="Text Box 1900">
            <a:extLst>
              <a:ext uri="{FF2B5EF4-FFF2-40B4-BE49-F238E27FC236}">
                <a16:creationId xmlns:a16="http://schemas.microsoft.com/office/drawing/2014/main" id="{00000000-0008-0000-0800-00006C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57" y="5257"/>
            <a:ext cx="289" cy="6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7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Columbus     </a:t>
            </a: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525" name="Text Box 1901">
            <a:extLst>
              <a:ext uri="{FF2B5EF4-FFF2-40B4-BE49-F238E27FC236}">
                <a16:creationId xmlns:a16="http://schemas.microsoft.com/office/drawing/2014/main" id="{00000000-0008-0000-0800-00006D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5" y="5097"/>
            <a:ext cx="47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1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526" name="Text Box 1902">
            <a:extLst>
              <a:ext uri="{FF2B5EF4-FFF2-40B4-BE49-F238E27FC236}">
                <a16:creationId xmlns:a16="http://schemas.microsoft.com/office/drawing/2014/main" id="{00000000-0008-0000-0800-00006E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634" y="4509"/>
            <a:ext cx="94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11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527" name="Text Box 1903">
            <a:extLst>
              <a:ext uri="{FF2B5EF4-FFF2-40B4-BE49-F238E27FC236}">
                <a16:creationId xmlns:a16="http://schemas.microsoft.com/office/drawing/2014/main" id="{00000000-0008-0000-0800-00006F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634" y="4658"/>
            <a:ext cx="47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2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528" name="Text Box 1904">
            <a:extLst>
              <a:ext uri="{FF2B5EF4-FFF2-40B4-BE49-F238E27FC236}">
                <a16:creationId xmlns:a16="http://schemas.microsoft.com/office/drawing/2014/main" id="{00000000-0008-0000-0800-000070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558" y="4990"/>
            <a:ext cx="100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2D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529" name="Text Box 1905">
            <a:extLst>
              <a:ext uri="{FF2B5EF4-FFF2-40B4-BE49-F238E27FC236}">
                <a16:creationId xmlns:a16="http://schemas.microsoft.com/office/drawing/2014/main" id="{00000000-0008-0000-0800-000071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481" y="5162"/>
            <a:ext cx="88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16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530" name="Text Box 1906">
            <a:extLst>
              <a:ext uri="{FF2B5EF4-FFF2-40B4-BE49-F238E27FC236}">
                <a16:creationId xmlns:a16="http://schemas.microsoft.com/office/drawing/2014/main" id="{00000000-0008-0000-0800-000072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46" y="5221"/>
            <a:ext cx="342" cy="7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7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Sunland Park                          </a:t>
            </a: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531" name="Text Box 1907">
            <a:extLst>
              <a:ext uri="{FF2B5EF4-FFF2-40B4-BE49-F238E27FC236}">
                <a16:creationId xmlns:a16="http://schemas.microsoft.com/office/drawing/2014/main" id="{00000000-0008-0000-0800-000073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34" y="4990"/>
            <a:ext cx="212" cy="6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7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Mesilla                            </a:t>
            </a: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532" name="Text Box 1908">
            <a:extLst>
              <a:ext uri="{FF2B5EF4-FFF2-40B4-BE49-F238E27FC236}">
                <a16:creationId xmlns:a16="http://schemas.microsoft.com/office/drawing/2014/main" id="{00000000-0008-0000-0800-000074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46" y="4551"/>
            <a:ext cx="212" cy="7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7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Hatch                            </a:t>
            </a: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533" name="Text Box 1909">
            <a:extLst>
              <a:ext uri="{FF2B5EF4-FFF2-40B4-BE49-F238E27FC236}">
                <a16:creationId xmlns:a16="http://schemas.microsoft.com/office/drawing/2014/main" id="{00000000-0008-0000-0800-000075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893" y="4996"/>
            <a:ext cx="77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16                         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534" name="Text Box 1910">
            <a:extLst>
              <a:ext uri="{FF2B5EF4-FFF2-40B4-BE49-F238E27FC236}">
                <a16:creationId xmlns:a16="http://schemas.microsoft.com/office/drawing/2014/main" id="{00000000-0008-0000-0800-000076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434" y="1608"/>
            <a:ext cx="100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20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01087" name="Freeform 1911">
            <a:extLst>
              <a:ext uri="{FF2B5EF4-FFF2-40B4-BE49-F238E27FC236}">
                <a16:creationId xmlns:a16="http://schemas.microsoft.com/office/drawing/2014/main" id="{00000000-0008-0000-0800-00007F110300}"/>
              </a:ext>
            </a:extLst>
          </xdr:cNvPr>
          <xdr:cNvSpPr>
            <a:spLocks/>
          </xdr:cNvSpPr>
        </xdr:nvSpPr>
        <xdr:spPr bwMode="auto">
          <a:xfrm>
            <a:off x="1863" y="1609"/>
            <a:ext cx="122" cy="8"/>
          </a:xfrm>
          <a:custGeom>
            <a:avLst/>
            <a:gdLst>
              <a:gd name="T0" fmla="*/ 0 w 122"/>
              <a:gd name="T1" fmla="*/ 0 h 8"/>
              <a:gd name="T2" fmla="*/ 122 w 122"/>
              <a:gd name="T3" fmla="*/ 8 h 8"/>
              <a:gd name="T4" fmla="*/ 0 60000 65536"/>
              <a:gd name="T5" fmla="*/ 0 60000 65536"/>
              <a:gd name="T6" fmla="*/ 0 w 122"/>
              <a:gd name="T7" fmla="*/ 0 h 8"/>
              <a:gd name="T8" fmla="*/ 122 w 122"/>
              <a:gd name="T9" fmla="*/ 8 h 8"/>
            </a:gdLst>
            <a:ahLst/>
            <a:cxnLst>
              <a:cxn ang="T4">
                <a:pos x="T0" y="T1"/>
              </a:cxn>
              <a:cxn ang="T5">
                <a:pos x="T2" y="T3"/>
              </a:cxn>
            </a:cxnLst>
            <a:rect l="T6" t="T7" r="T8" b="T9"/>
            <a:pathLst>
              <a:path w="122" h="8">
                <a:moveTo>
                  <a:pt x="0" y="0"/>
                </a:moveTo>
                <a:lnTo>
                  <a:pt x="122" y="8"/>
                </a:lnTo>
              </a:path>
            </a:pathLst>
          </a:custGeom>
          <a:noFill/>
          <a:ln w="6350">
            <a:solidFill>
              <a:srgbClr val="000000"/>
            </a:solidFill>
            <a:round/>
            <a:headEnd/>
            <a:tailEnd type="triangle" w="sm" len="sm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8536" name="Text Box 1912">
            <a:extLst>
              <a:ext uri="{FF2B5EF4-FFF2-40B4-BE49-F238E27FC236}">
                <a16:creationId xmlns:a16="http://schemas.microsoft.com/office/drawing/2014/main" id="{00000000-0008-0000-0800-000078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93" y="1507"/>
            <a:ext cx="259" cy="7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7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Cuba</a:t>
            </a:r>
          </a:p>
          <a:p>
            <a:pPr algn="l" rtl="0">
              <a:defRPr sz="1000"/>
            </a:pPr>
            <a:endParaRPr lang="en-US" sz="7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537" name="Text Box 1913">
            <a:extLst>
              <a:ext uri="{FF2B5EF4-FFF2-40B4-BE49-F238E27FC236}">
                <a16:creationId xmlns:a16="http://schemas.microsoft.com/office/drawing/2014/main" id="{00000000-0008-0000-0800-000079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511" y="1733"/>
            <a:ext cx="118" cy="6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7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San</a:t>
            </a:r>
            <a:endParaRPr lang="en-US" sz="7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7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538" name="Text Box 1914">
            <a:extLst>
              <a:ext uri="{FF2B5EF4-FFF2-40B4-BE49-F238E27FC236}">
                <a16:creationId xmlns:a16="http://schemas.microsoft.com/office/drawing/2014/main" id="{00000000-0008-0000-0800-00007A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487" y="1786"/>
            <a:ext cx="259" cy="6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7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Ysidro</a:t>
            </a:r>
            <a:endParaRPr lang="en-US" sz="7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7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539" name="Text Box 1915">
            <a:extLst>
              <a:ext uri="{FF2B5EF4-FFF2-40B4-BE49-F238E27FC236}">
                <a16:creationId xmlns:a16="http://schemas.microsoft.com/office/drawing/2014/main" id="{00000000-0008-0000-0800-00007B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446" y="2101"/>
            <a:ext cx="118" cy="7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7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Rio</a:t>
            </a:r>
            <a:endParaRPr lang="en-US" sz="7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7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540" name="Text Box 1916">
            <a:extLst>
              <a:ext uri="{FF2B5EF4-FFF2-40B4-BE49-F238E27FC236}">
                <a16:creationId xmlns:a16="http://schemas.microsoft.com/office/drawing/2014/main" id="{00000000-0008-0000-0800-00007C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434" y="2160"/>
            <a:ext cx="177" cy="6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7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Rancho</a:t>
            </a:r>
            <a:endParaRPr lang="en-US" sz="7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7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541" name="Text Box 1917">
            <a:extLst>
              <a:ext uri="{FF2B5EF4-FFF2-40B4-BE49-F238E27FC236}">
                <a16:creationId xmlns:a16="http://schemas.microsoft.com/office/drawing/2014/main" id="{00000000-0008-0000-0800-00007D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528" y="2053"/>
            <a:ext cx="65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94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542" name="Text Box 1918">
            <a:extLst>
              <a:ext uri="{FF2B5EF4-FFF2-40B4-BE49-F238E27FC236}">
                <a16:creationId xmlns:a16="http://schemas.microsoft.com/office/drawing/2014/main" id="{00000000-0008-0000-0800-00007E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793" y="1679"/>
            <a:ext cx="100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31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543" name="Text Box 1919">
            <a:extLst>
              <a:ext uri="{FF2B5EF4-FFF2-40B4-BE49-F238E27FC236}">
                <a16:creationId xmlns:a16="http://schemas.microsoft.com/office/drawing/2014/main" id="{00000000-0008-0000-0800-00007F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658" y="1792"/>
            <a:ext cx="124" cy="5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6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31-A</a:t>
            </a: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544" name="Text Box 1920">
            <a:extLst>
              <a:ext uri="{FF2B5EF4-FFF2-40B4-BE49-F238E27FC236}">
                <a16:creationId xmlns:a16="http://schemas.microsoft.com/office/drawing/2014/main" id="{00000000-0008-0000-0800-000080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646" y="1662"/>
            <a:ext cx="153" cy="5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6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Jemez</a:t>
            </a:r>
            <a:endParaRPr lang="en-US" sz="7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7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545" name="Text Box 1921">
            <a:extLst>
              <a:ext uri="{FF2B5EF4-FFF2-40B4-BE49-F238E27FC236}">
                <a16:creationId xmlns:a16="http://schemas.microsoft.com/office/drawing/2014/main" id="{00000000-0008-0000-0800-000081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646" y="1721"/>
            <a:ext cx="177" cy="5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6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Springs</a:t>
            </a: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546" name="Text Box 1922">
            <a:extLst>
              <a:ext uri="{FF2B5EF4-FFF2-40B4-BE49-F238E27FC236}">
                <a16:creationId xmlns:a16="http://schemas.microsoft.com/office/drawing/2014/main" id="{00000000-0008-0000-0800-000082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628" y="2172"/>
            <a:ext cx="130" cy="5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6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2-A</a:t>
            </a: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547" name="Text Box 1923">
            <a:extLst>
              <a:ext uri="{FF2B5EF4-FFF2-40B4-BE49-F238E27FC236}">
                <a16:creationId xmlns:a16="http://schemas.microsoft.com/office/drawing/2014/main" id="{00000000-0008-0000-0800-000083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805" y="2172"/>
            <a:ext cx="206" cy="5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6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Corrales</a:t>
            </a:r>
            <a:endParaRPr lang="en-US" sz="7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7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01100" name="Line 1924">
            <a:extLst>
              <a:ext uri="{FF2B5EF4-FFF2-40B4-BE49-F238E27FC236}">
                <a16:creationId xmlns:a16="http://schemas.microsoft.com/office/drawing/2014/main" id="{00000000-0008-0000-0800-00008C110300}"/>
              </a:ext>
            </a:extLst>
          </xdr:cNvPr>
          <xdr:cNvSpPr>
            <a:spLocks noChangeShapeType="1"/>
          </xdr:cNvSpPr>
        </xdr:nvSpPr>
        <xdr:spPr bwMode="auto">
          <a:xfrm flipH="1">
            <a:off x="1728" y="2208"/>
            <a:ext cx="80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 type="triangl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8549" name="Text Box 1925">
            <a:extLst>
              <a:ext uri="{FF2B5EF4-FFF2-40B4-BE49-F238E27FC236}">
                <a16:creationId xmlns:a16="http://schemas.microsoft.com/office/drawing/2014/main" id="{00000000-0008-0000-0800-000085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876" y="1929"/>
            <a:ext cx="47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1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550" name="Text Box 1926">
            <a:extLst>
              <a:ext uri="{FF2B5EF4-FFF2-40B4-BE49-F238E27FC236}">
                <a16:creationId xmlns:a16="http://schemas.microsoft.com/office/drawing/2014/main" id="{00000000-0008-0000-0800-000086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811" y="2012"/>
            <a:ext cx="247" cy="5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6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Bernalillo</a:t>
            </a: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551" name="Text Box 1927">
            <a:extLst>
              <a:ext uri="{FF2B5EF4-FFF2-40B4-BE49-F238E27FC236}">
                <a16:creationId xmlns:a16="http://schemas.microsoft.com/office/drawing/2014/main" id="{00000000-0008-0000-0800-000087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141" y="2421"/>
            <a:ext cx="188" cy="6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7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</a:t>
            </a:r>
            <a:r>
              <a:rPr lang="en-US" sz="6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Moriarty</a:t>
            </a: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01104" name="Freeform 1928">
            <a:extLst>
              <a:ext uri="{FF2B5EF4-FFF2-40B4-BE49-F238E27FC236}">
                <a16:creationId xmlns:a16="http://schemas.microsoft.com/office/drawing/2014/main" id="{00000000-0008-0000-0800-000090110300}"/>
              </a:ext>
            </a:extLst>
          </xdr:cNvPr>
          <xdr:cNvSpPr>
            <a:spLocks/>
          </xdr:cNvSpPr>
        </xdr:nvSpPr>
        <xdr:spPr bwMode="auto">
          <a:xfrm>
            <a:off x="1977" y="2307"/>
            <a:ext cx="30" cy="93"/>
          </a:xfrm>
          <a:custGeom>
            <a:avLst/>
            <a:gdLst>
              <a:gd name="T0" fmla="*/ 30 w 30"/>
              <a:gd name="T1" fmla="*/ 0 h 93"/>
              <a:gd name="T2" fmla="*/ 9 w 30"/>
              <a:gd name="T3" fmla="*/ 15 h 93"/>
              <a:gd name="T4" fmla="*/ 6 w 30"/>
              <a:gd name="T5" fmla="*/ 33 h 93"/>
              <a:gd name="T6" fmla="*/ 3 w 30"/>
              <a:gd name="T7" fmla="*/ 51 h 93"/>
              <a:gd name="T8" fmla="*/ 0 w 30"/>
              <a:gd name="T9" fmla="*/ 93 h 93"/>
              <a:gd name="T10" fmla="*/ 30 w 30"/>
              <a:gd name="T11" fmla="*/ 93 h 93"/>
              <a:gd name="T12" fmla="*/ 0 60000 65536"/>
              <a:gd name="T13" fmla="*/ 0 60000 65536"/>
              <a:gd name="T14" fmla="*/ 0 60000 65536"/>
              <a:gd name="T15" fmla="*/ 0 60000 65536"/>
              <a:gd name="T16" fmla="*/ 0 60000 65536"/>
              <a:gd name="T17" fmla="*/ 0 60000 65536"/>
              <a:gd name="T18" fmla="*/ 0 w 30"/>
              <a:gd name="T19" fmla="*/ 0 h 93"/>
              <a:gd name="T20" fmla="*/ 30 w 30"/>
              <a:gd name="T21" fmla="*/ 93 h 93"/>
            </a:gdLst>
            <a:ahLst/>
            <a:cxnLst>
              <a:cxn ang="T12">
                <a:pos x="T0" y="T1"/>
              </a:cxn>
              <a:cxn ang="T13">
                <a:pos x="T2" y="T3"/>
              </a:cxn>
              <a:cxn ang="T14">
                <a:pos x="T4" y="T5"/>
              </a:cxn>
              <a:cxn ang="T15">
                <a:pos x="T6" y="T7"/>
              </a:cxn>
              <a:cxn ang="T16">
                <a:pos x="T8" y="T9"/>
              </a:cxn>
              <a:cxn ang="T17">
                <a:pos x="T10" y="T11"/>
              </a:cxn>
            </a:cxnLst>
            <a:rect l="T18" t="T19" r="T20" b="T21"/>
            <a:pathLst>
              <a:path w="30" h="93">
                <a:moveTo>
                  <a:pt x="30" y="0"/>
                </a:moveTo>
                <a:lnTo>
                  <a:pt x="9" y="15"/>
                </a:lnTo>
                <a:lnTo>
                  <a:pt x="6" y="33"/>
                </a:lnTo>
                <a:lnTo>
                  <a:pt x="3" y="51"/>
                </a:lnTo>
                <a:lnTo>
                  <a:pt x="0" y="93"/>
                </a:lnTo>
                <a:lnTo>
                  <a:pt x="30" y="93"/>
                </a:lnTo>
              </a:path>
            </a:pathLst>
          </a:custGeom>
          <a:noFill/>
          <a:ln w="9525" cap="flat" cmpd="sng">
            <a:solidFill>
              <a:srgbClr val="333399"/>
            </a:solidFill>
            <a:prstDash val="sysDot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1105" name="Freeform 1929">
            <a:extLst>
              <a:ext uri="{FF2B5EF4-FFF2-40B4-BE49-F238E27FC236}">
                <a16:creationId xmlns:a16="http://schemas.microsoft.com/office/drawing/2014/main" id="{00000000-0008-0000-0800-000091110300}"/>
              </a:ext>
            </a:extLst>
          </xdr:cNvPr>
          <xdr:cNvSpPr>
            <a:spLocks/>
          </xdr:cNvSpPr>
        </xdr:nvSpPr>
        <xdr:spPr bwMode="auto">
          <a:xfrm>
            <a:off x="1980" y="2397"/>
            <a:ext cx="27" cy="81"/>
          </a:xfrm>
          <a:custGeom>
            <a:avLst/>
            <a:gdLst>
              <a:gd name="T0" fmla="*/ 0 w 27"/>
              <a:gd name="T1" fmla="*/ 0 h 81"/>
              <a:gd name="T2" fmla="*/ 5 w 27"/>
              <a:gd name="T3" fmla="*/ 81 h 81"/>
              <a:gd name="T4" fmla="*/ 27 w 27"/>
              <a:gd name="T5" fmla="*/ 81 h 81"/>
              <a:gd name="T6" fmla="*/ 0 60000 65536"/>
              <a:gd name="T7" fmla="*/ 0 60000 65536"/>
              <a:gd name="T8" fmla="*/ 0 60000 65536"/>
              <a:gd name="T9" fmla="*/ 0 w 27"/>
              <a:gd name="T10" fmla="*/ 0 h 81"/>
              <a:gd name="T11" fmla="*/ 27 w 27"/>
              <a:gd name="T12" fmla="*/ 81 h 81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7" h="81">
                <a:moveTo>
                  <a:pt x="0" y="0"/>
                </a:moveTo>
                <a:lnTo>
                  <a:pt x="5" y="81"/>
                </a:lnTo>
                <a:lnTo>
                  <a:pt x="27" y="81"/>
                </a:lnTo>
              </a:path>
            </a:pathLst>
          </a:custGeom>
          <a:noFill/>
          <a:ln w="9525" cap="flat" cmpd="sng">
            <a:solidFill>
              <a:srgbClr val="333399"/>
            </a:solidFill>
            <a:prstDash val="sysDot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8554" name="Text Box 1930">
            <a:extLst>
              <a:ext uri="{FF2B5EF4-FFF2-40B4-BE49-F238E27FC236}">
                <a16:creationId xmlns:a16="http://schemas.microsoft.com/office/drawing/2014/main" id="{00000000-0008-0000-0800-00008A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534" y="2427"/>
            <a:ext cx="289" cy="11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12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County </a:t>
            </a:r>
            <a:endParaRPr 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555" name="Text Box 1931">
            <a:extLst>
              <a:ext uri="{FF2B5EF4-FFF2-40B4-BE49-F238E27FC236}">
                <a16:creationId xmlns:a16="http://schemas.microsoft.com/office/drawing/2014/main" id="{00000000-0008-0000-0800-00008B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458" y="2255"/>
            <a:ext cx="300" cy="6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7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Albuquerque</a:t>
            </a: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556" name="Text Box 1932">
            <a:extLst>
              <a:ext uri="{FF2B5EF4-FFF2-40B4-BE49-F238E27FC236}">
                <a16:creationId xmlns:a16="http://schemas.microsoft.com/office/drawing/2014/main" id="{00000000-0008-0000-0800-00008C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487" y="2302"/>
            <a:ext cx="300" cy="7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7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Los Ranchos</a:t>
            </a: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557" name="Text Box 1933">
            <a:extLst>
              <a:ext uri="{FF2B5EF4-FFF2-40B4-BE49-F238E27FC236}">
                <a16:creationId xmlns:a16="http://schemas.microsoft.com/office/drawing/2014/main" id="{00000000-0008-0000-0800-00008D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764" y="2261"/>
            <a:ext cx="177" cy="6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7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Tijeras</a:t>
            </a: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558" name="Text Box 1934">
            <a:extLst>
              <a:ext uri="{FF2B5EF4-FFF2-40B4-BE49-F238E27FC236}">
                <a16:creationId xmlns:a16="http://schemas.microsoft.com/office/drawing/2014/main" id="{00000000-0008-0000-0800-00008E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917" y="2486"/>
            <a:ext cx="106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8-T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559" name="Text Box 1935">
            <a:extLst>
              <a:ext uri="{FF2B5EF4-FFF2-40B4-BE49-F238E27FC236}">
                <a16:creationId xmlns:a16="http://schemas.microsoft.com/office/drawing/2014/main" id="{00000000-0008-0000-0800-00008F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823" y="2308"/>
            <a:ext cx="159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24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01112" name="Line 1936">
            <a:extLst>
              <a:ext uri="{FF2B5EF4-FFF2-40B4-BE49-F238E27FC236}">
                <a16:creationId xmlns:a16="http://schemas.microsoft.com/office/drawing/2014/main" id="{00000000-0008-0000-0800-000098110300}"/>
              </a:ext>
            </a:extLst>
          </xdr:cNvPr>
          <xdr:cNvSpPr>
            <a:spLocks noChangeShapeType="1"/>
          </xdr:cNvSpPr>
        </xdr:nvSpPr>
        <xdr:spPr bwMode="auto">
          <a:xfrm>
            <a:off x="1905" y="2358"/>
            <a:ext cx="90" cy="16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 type="triangl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01113" name="Line 1937">
            <a:extLst>
              <a:ext uri="{FF2B5EF4-FFF2-40B4-BE49-F238E27FC236}">
                <a16:creationId xmlns:a16="http://schemas.microsoft.com/office/drawing/2014/main" id="{00000000-0008-0000-0800-000099110300}"/>
              </a:ext>
            </a:extLst>
          </xdr:cNvPr>
          <xdr:cNvSpPr>
            <a:spLocks noChangeShapeType="1"/>
          </xdr:cNvSpPr>
        </xdr:nvSpPr>
        <xdr:spPr bwMode="auto">
          <a:xfrm flipV="1">
            <a:off x="1962" y="2450"/>
            <a:ext cx="21" cy="67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 type="triangl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01114" name="Freeform 1938">
            <a:extLst>
              <a:ext uri="{FF2B5EF4-FFF2-40B4-BE49-F238E27FC236}">
                <a16:creationId xmlns:a16="http://schemas.microsoft.com/office/drawing/2014/main" id="{00000000-0008-0000-0800-00009A110300}"/>
              </a:ext>
            </a:extLst>
          </xdr:cNvPr>
          <xdr:cNvSpPr>
            <a:spLocks/>
          </xdr:cNvSpPr>
        </xdr:nvSpPr>
        <xdr:spPr bwMode="auto">
          <a:xfrm>
            <a:off x="1907" y="4227"/>
            <a:ext cx="639" cy="479"/>
          </a:xfrm>
          <a:custGeom>
            <a:avLst/>
            <a:gdLst>
              <a:gd name="T0" fmla="*/ 0 w 639"/>
              <a:gd name="T1" fmla="*/ 0 h 479"/>
              <a:gd name="T2" fmla="*/ 294 w 639"/>
              <a:gd name="T3" fmla="*/ 0 h 479"/>
              <a:gd name="T4" fmla="*/ 294 w 639"/>
              <a:gd name="T5" fmla="*/ 24 h 479"/>
              <a:gd name="T6" fmla="*/ 355 w 639"/>
              <a:gd name="T7" fmla="*/ 24 h 479"/>
              <a:gd name="T8" fmla="*/ 355 w 639"/>
              <a:gd name="T9" fmla="*/ 48 h 479"/>
              <a:gd name="T10" fmla="*/ 355 w 639"/>
              <a:gd name="T11" fmla="*/ 24 h 479"/>
              <a:gd name="T12" fmla="*/ 355 w 639"/>
              <a:gd name="T13" fmla="*/ 158 h 479"/>
              <a:gd name="T14" fmla="*/ 277 w 639"/>
              <a:gd name="T15" fmla="*/ 158 h 479"/>
              <a:gd name="T16" fmla="*/ 277 w 639"/>
              <a:gd name="T17" fmla="*/ 479 h 479"/>
              <a:gd name="T18" fmla="*/ 346 w 639"/>
              <a:gd name="T19" fmla="*/ 479 h 479"/>
              <a:gd name="T20" fmla="*/ 346 w 639"/>
              <a:gd name="T21" fmla="*/ 257 h 479"/>
              <a:gd name="T22" fmla="*/ 426 w 639"/>
              <a:gd name="T23" fmla="*/ 257 h 479"/>
              <a:gd name="T24" fmla="*/ 426 w 639"/>
              <a:gd name="T25" fmla="*/ 188 h 479"/>
              <a:gd name="T26" fmla="*/ 532 w 639"/>
              <a:gd name="T27" fmla="*/ 188 h 479"/>
              <a:gd name="T28" fmla="*/ 544 w 639"/>
              <a:gd name="T29" fmla="*/ 176 h 479"/>
              <a:gd name="T30" fmla="*/ 556 w 639"/>
              <a:gd name="T31" fmla="*/ 156 h 479"/>
              <a:gd name="T32" fmla="*/ 618 w 639"/>
              <a:gd name="T33" fmla="*/ 156 h 479"/>
              <a:gd name="T34" fmla="*/ 621 w 639"/>
              <a:gd name="T35" fmla="*/ 68 h 479"/>
              <a:gd name="T36" fmla="*/ 639 w 639"/>
              <a:gd name="T37" fmla="*/ 68 h 479"/>
              <a:gd name="T38" fmla="*/ 637 w 639"/>
              <a:gd name="T39" fmla="*/ 26 h 479"/>
              <a:gd name="T40" fmla="*/ 348 w 639"/>
              <a:gd name="T41" fmla="*/ 26 h 479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  <a:gd name="T63" fmla="*/ 0 w 639"/>
              <a:gd name="T64" fmla="*/ 0 h 479"/>
              <a:gd name="T65" fmla="*/ 639 w 639"/>
              <a:gd name="T66" fmla="*/ 479 h 479"/>
            </a:gdLst>
            <a:ahLst/>
            <a:cxnLst>
              <a:cxn ang="T42">
                <a:pos x="T0" y="T1"/>
              </a:cxn>
              <a:cxn ang="T43">
                <a:pos x="T2" y="T3"/>
              </a:cxn>
              <a:cxn ang="T44">
                <a:pos x="T4" y="T5"/>
              </a:cxn>
              <a:cxn ang="T45">
                <a:pos x="T6" y="T7"/>
              </a:cxn>
              <a:cxn ang="T46">
                <a:pos x="T8" y="T9"/>
              </a:cxn>
              <a:cxn ang="T47">
                <a:pos x="T10" y="T11"/>
              </a:cxn>
              <a:cxn ang="T48">
                <a:pos x="T12" y="T13"/>
              </a:cxn>
              <a:cxn ang="T49">
                <a:pos x="T14" y="T15"/>
              </a:cxn>
              <a:cxn ang="T50">
                <a:pos x="T16" y="T17"/>
              </a:cxn>
              <a:cxn ang="T51">
                <a:pos x="T18" y="T19"/>
              </a:cxn>
              <a:cxn ang="T52">
                <a:pos x="T20" y="T21"/>
              </a:cxn>
              <a:cxn ang="T53">
                <a:pos x="T22" y="T23"/>
              </a:cxn>
              <a:cxn ang="T54">
                <a:pos x="T24" y="T25"/>
              </a:cxn>
              <a:cxn ang="T55">
                <a:pos x="T26" y="T27"/>
              </a:cxn>
              <a:cxn ang="T56">
                <a:pos x="T28" y="T29"/>
              </a:cxn>
              <a:cxn ang="T57">
                <a:pos x="T30" y="T31"/>
              </a:cxn>
              <a:cxn ang="T58">
                <a:pos x="T32" y="T33"/>
              </a:cxn>
              <a:cxn ang="T59">
                <a:pos x="T34" y="T35"/>
              </a:cxn>
              <a:cxn ang="T60">
                <a:pos x="T36" y="T37"/>
              </a:cxn>
              <a:cxn ang="T61">
                <a:pos x="T38" y="T39"/>
              </a:cxn>
              <a:cxn ang="T62">
                <a:pos x="T40" y="T41"/>
              </a:cxn>
            </a:cxnLst>
            <a:rect l="T63" t="T64" r="T65" b="T66"/>
            <a:pathLst>
              <a:path w="639" h="479">
                <a:moveTo>
                  <a:pt x="0" y="0"/>
                </a:moveTo>
                <a:lnTo>
                  <a:pt x="294" y="0"/>
                </a:lnTo>
                <a:lnTo>
                  <a:pt x="294" y="24"/>
                </a:lnTo>
                <a:lnTo>
                  <a:pt x="355" y="24"/>
                </a:lnTo>
                <a:lnTo>
                  <a:pt x="355" y="48"/>
                </a:lnTo>
                <a:lnTo>
                  <a:pt x="355" y="24"/>
                </a:lnTo>
                <a:lnTo>
                  <a:pt x="355" y="158"/>
                </a:lnTo>
                <a:lnTo>
                  <a:pt x="277" y="158"/>
                </a:lnTo>
                <a:lnTo>
                  <a:pt x="277" y="479"/>
                </a:lnTo>
                <a:lnTo>
                  <a:pt x="346" y="479"/>
                </a:lnTo>
                <a:lnTo>
                  <a:pt x="346" y="257"/>
                </a:lnTo>
                <a:lnTo>
                  <a:pt x="426" y="257"/>
                </a:lnTo>
                <a:lnTo>
                  <a:pt x="426" y="188"/>
                </a:lnTo>
                <a:lnTo>
                  <a:pt x="532" y="188"/>
                </a:lnTo>
                <a:lnTo>
                  <a:pt x="544" y="176"/>
                </a:lnTo>
                <a:lnTo>
                  <a:pt x="556" y="156"/>
                </a:lnTo>
                <a:lnTo>
                  <a:pt x="618" y="156"/>
                </a:lnTo>
                <a:lnTo>
                  <a:pt x="621" y="68"/>
                </a:lnTo>
                <a:lnTo>
                  <a:pt x="639" y="68"/>
                </a:lnTo>
                <a:lnTo>
                  <a:pt x="637" y="26"/>
                </a:lnTo>
                <a:lnTo>
                  <a:pt x="348" y="26"/>
                </a:lnTo>
              </a:path>
            </a:pathLst>
          </a:custGeom>
          <a:noFill/>
          <a:ln w="9525" cap="flat" cmpd="sng">
            <a:solidFill>
              <a:srgbClr val="333399"/>
            </a:solidFill>
            <a:prstDash val="sysDot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8563" name="Text Box 1939">
            <a:extLst>
              <a:ext uri="{FF2B5EF4-FFF2-40B4-BE49-F238E27FC236}">
                <a16:creationId xmlns:a16="http://schemas.microsoft.com/office/drawing/2014/main" id="{00000000-0008-0000-0800-000093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205" y="4943"/>
            <a:ext cx="53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1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564" name="Text Box 1940">
            <a:extLst>
              <a:ext uri="{FF2B5EF4-FFF2-40B4-BE49-F238E27FC236}">
                <a16:creationId xmlns:a16="http://schemas.microsoft.com/office/drawing/2014/main" id="{00000000-0008-0000-0800-000094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217" y="4391"/>
            <a:ext cx="100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11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565" name="Text Box 1941">
            <a:extLst>
              <a:ext uri="{FF2B5EF4-FFF2-40B4-BE49-F238E27FC236}">
                <a16:creationId xmlns:a16="http://schemas.microsoft.com/office/drawing/2014/main" id="{00000000-0008-0000-0800-000095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205" y="3981"/>
            <a:ext cx="53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4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566" name="Text Box 1942">
            <a:extLst>
              <a:ext uri="{FF2B5EF4-FFF2-40B4-BE49-F238E27FC236}">
                <a16:creationId xmlns:a16="http://schemas.microsoft.com/office/drawing/2014/main" id="{00000000-0008-0000-0800-000096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258" y="4272"/>
            <a:ext cx="283" cy="6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7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Cloudcroft                            </a:t>
            </a: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567" name="Text Box 1943">
            <a:extLst>
              <a:ext uri="{FF2B5EF4-FFF2-40B4-BE49-F238E27FC236}">
                <a16:creationId xmlns:a16="http://schemas.microsoft.com/office/drawing/2014/main" id="{00000000-0008-0000-0800-000097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958" y="4130"/>
            <a:ext cx="236" cy="7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7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Tularosa                            </a:t>
            </a: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568" name="Text Box 1944">
            <a:extLst>
              <a:ext uri="{FF2B5EF4-FFF2-40B4-BE49-F238E27FC236}">
                <a16:creationId xmlns:a16="http://schemas.microsoft.com/office/drawing/2014/main" id="{00000000-0008-0000-0800-000098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905" y="4308"/>
            <a:ext cx="342" cy="6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7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Alamogordo                            </a:t>
            </a: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569" name="Text Box 1945">
            <a:extLst>
              <a:ext uri="{FF2B5EF4-FFF2-40B4-BE49-F238E27FC236}">
                <a16:creationId xmlns:a16="http://schemas.microsoft.com/office/drawing/2014/main" id="{00000000-0008-0000-0800-000099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64" y="3649"/>
            <a:ext cx="241" cy="6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7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Carrizozo                            </a:t>
            </a: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570" name="Text Box 1946">
            <a:extLst>
              <a:ext uri="{FF2B5EF4-FFF2-40B4-BE49-F238E27FC236}">
                <a16:creationId xmlns:a16="http://schemas.microsoft.com/office/drawing/2014/main" id="{00000000-0008-0000-0800-00009A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335" y="3655"/>
            <a:ext cx="241" cy="7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7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Capitan                            </a:t>
            </a: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571" name="Text Box 1947">
            <a:extLst>
              <a:ext uri="{FF2B5EF4-FFF2-40B4-BE49-F238E27FC236}">
                <a16:creationId xmlns:a16="http://schemas.microsoft.com/office/drawing/2014/main" id="{00000000-0008-0000-0800-00009B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311" y="3898"/>
            <a:ext cx="241" cy="7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7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</a:t>
            </a:r>
            <a:r>
              <a:rPr lang="en-US" sz="6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Ruidoso</a:t>
            </a:r>
            <a:r>
              <a:rPr lang="en-US" sz="7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                          </a:t>
            </a: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572" name="Text Box 1948">
            <a:extLst>
              <a:ext uri="{FF2B5EF4-FFF2-40B4-BE49-F238E27FC236}">
                <a16:creationId xmlns:a16="http://schemas.microsoft.com/office/drawing/2014/main" id="{00000000-0008-0000-0800-00009C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494" y="3886"/>
            <a:ext cx="289" cy="7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7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</a:t>
            </a:r>
            <a:r>
              <a:rPr lang="en-US" sz="6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Ruidoso</a:t>
            </a: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573" name="Text Box 1949">
            <a:extLst>
              <a:ext uri="{FF2B5EF4-FFF2-40B4-BE49-F238E27FC236}">
                <a16:creationId xmlns:a16="http://schemas.microsoft.com/office/drawing/2014/main" id="{00000000-0008-0000-0800-00009D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970" y="3453"/>
            <a:ext cx="94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7-L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574" name="Text Box 1950">
            <a:extLst>
              <a:ext uri="{FF2B5EF4-FFF2-40B4-BE49-F238E27FC236}">
                <a16:creationId xmlns:a16="http://schemas.microsoft.com/office/drawing/2014/main" id="{00000000-0008-0000-0800-00009E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964" y="3269"/>
            <a:ext cx="141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13-L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575" name="Text Box 1951">
            <a:extLst>
              <a:ext uri="{FF2B5EF4-FFF2-40B4-BE49-F238E27FC236}">
                <a16:creationId xmlns:a16="http://schemas.microsoft.com/office/drawing/2014/main" id="{00000000-0008-0000-0800-00009F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541" y="3934"/>
            <a:ext cx="241" cy="7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7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</a:t>
            </a:r>
            <a:r>
              <a:rPr lang="en-US" sz="6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Downs</a:t>
            </a: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01128" name="Freeform 1952">
            <a:extLst>
              <a:ext uri="{FF2B5EF4-FFF2-40B4-BE49-F238E27FC236}">
                <a16:creationId xmlns:a16="http://schemas.microsoft.com/office/drawing/2014/main" id="{00000000-0008-0000-0800-0000A8110300}"/>
              </a:ext>
            </a:extLst>
          </xdr:cNvPr>
          <xdr:cNvSpPr>
            <a:spLocks/>
          </xdr:cNvSpPr>
        </xdr:nvSpPr>
        <xdr:spPr bwMode="auto">
          <a:xfrm>
            <a:off x="1790" y="3054"/>
            <a:ext cx="321" cy="156"/>
          </a:xfrm>
          <a:custGeom>
            <a:avLst/>
            <a:gdLst>
              <a:gd name="T0" fmla="*/ 3 w 321"/>
              <a:gd name="T1" fmla="*/ 0 h 156"/>
              <a:gd name="T2" fmla="*/ 0 w 321"/>
              <a:gd name="T3" fmla="*/ 98 h 156"/>
              <a:gd name="T4" fmla="*/ 0 w 321"/>
              <a:gd name="T5" fmla="*/ 155 h 156"/>
              <a:gd name="T6" fmla="*/ 256 w 321"/>
              <a:gd name="T7" fmla="*/ 156 h 156"/>
              <a:gd name="T8" fmla="*/ 256 w 321"/>
              <a:gd name="T9" fmla="*/ 117 h 156"/>
              <a:gd name="T10" fmla="*/ 321 w 321"/>
              <a:gd name="T11" fmla="*/ 119 h 156"/>
              <a:gd name="T12" fmla="*/ 321 w 321"/>
              <a:gd name="T13" fmla="*/ 51 h 156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321"/>
              <a:gd name="T22" fmla="*/ 0 h 156"/>
              <a:gd name="T23" fmla="*/ 321 w 321"/>
              <a:gd name="T24" fmla="*/ 156 h 156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321" h="156">
                <a:moveTo>
                  <a:pt x="3" y="0"/>
                </a:moveTo>
                <a:cubicBezTo>
                  <a:pt x="0" y="16"/>
                  <a:pt x="0" y="73"/>
                  <a:pt x="0" y="98"/>
                </a:cubicBezTo>
                <a:cubicBezTo>
                  <a:pt x="0" y="98"/>
                  <a:pt x="0" y="126"/>
                  <a:pt x="0" y="155"/>
                </a:cubicBezTo>
                <a:cubicBezTo>
                  <a:pt x="128" y="155"/>
                  <a:pt x="256" y="156"/>
                  <a:pt x="256" y="156"/>
                </a:cubicBezTo>
                <a:lnTo>
                  <a:pt x="256" y="117"/>
                </a:lnTo>
                <a:lnTo>
                  <a:pt x="321" y="119"/>
                </a:lnTo>
                <a:lnTo>
                  <a:pt x="321" y="51"/>
                </a:lnTo>
              </a:path>
            </a:pathLst>
          </a:custGeom>
          <a:noFill/>
          <a:ln w="9525" cap="flat" cmpd="sng">
            <a:solidFill>
              <a:srgbClr val="333399"/>
            </a:solidFill>
            <a:prstDash val="sysDot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1129" name="Freeform 1953">
            <a:extLst>
              <a:ext uri="{FF2B5EF4-FFF2-40B4-BE49-F238E27FC236}">
                <a16:creationId xmlns:a16="http://schemas.microsoft.com/office/drawing/2014/main" id="{00000000-0008-0000-0800-0000A9110300}"/>
              </a:ext>
            </a:extLst>
          </xdr:cNvPr>
          <xdr:cNvSpPr>
            <a:spLocks/>
          </xdr:cNvSpPr>
        </xdr:nvSpPr>
        <xdr:spPr bwMode="auto">
          <a:xfrm>
            <a:off x="1908" y="3206"/>
            <a:ext cx="1" cy="445"/>
          </a:xfrm>
          <a:custGeom>
            <a:avLst/>
            <a:gdLst>
              <a:gd name="T0" fmla="*/ 0 w 1"/>
              <a:gd name="T1" fmla="*/ 0 h 445"/>
              <a:gd name="T2" fmla="*/ 0 w 1"/>
              <a:gd name="T3" fmla="*/ 166 h 445"/>
              <a:gd name="T4" fmla="*/ 0 w 1"/>
              <a:gd name="T5" fmla="*/ 445 h 445"/>
              <a:gd name="T6" fmla="*/ 0 60000 65536"/>
              <a:gd name="T7" fmla="*/ 0 60000 65536"/>
              <a:gd name="T8" fmla="*/ 0 60000 65536"/>
              <a:gd name="T9" fmla="*/ 0 w 1"/>
              <a:gd name="T10" fmla="*/ 0 h 445"/>
              <a:gd name="T11" fmla="*/ 1 w 1"/>
              <a:gd name="T12" fmla="*/ 445 h 445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1" h="445">
                <a:moveTo>
                  <a:pt x="0" y="0"/>
                </a:moveTo>
                <a:lnTo>
                  <a:pt x="0" y="166"/>
                </a:lnTo>
                <a:lnTo>
                  <a:pt x="0" y="445"/>
                </a:lnTo>
              </a:path>
            </a:pathLst>
          </a:custGeom>
          <a:noFill/>
          <a:ln w="9525" cap="flat" cmpd="sng">
            <a:solidFill>
              <a:srgbClr val="333399"/>
            </a:solidFill>
            <a:prstDash val="sysDot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1130" name="Freeform 1954">
            <a:extLst>
              <a:ext uri="{FF2B5EF4-FFF2-40B4-BE49-F238E27FC236}">
                <a16:creationId xmlns:a16="http://schemas.microsoft.com/office/drawing/2014/main" id="{00000000-0008-0000-0800-0000AA110300}"/>
              </a:ext>
            </a:extLst>
          </xdr:cNvPr>
          <xdr:cNvSpPr>
            <a:spLocks/>
          </xdr:cNvSpPr>
        </xdr:nvSpPr>
        <xdr:spPr bwMode="auto">
          <a:xfrm>
            <a:off x="1908" y="3371"/>
            <a:ext cx="273" cy="1"/>
          </a:xfrm>
          <a:custGeom>
            <a:avLst/>
            <a:gdLst>
              <a:gd name="T0" fmla="*/ 0 w 273"/>
              <a:gd name="T1" fmla="*/ 0 h 1"/>
              <a:gd name="T2" fmla="*/ 273 w 273"/>
              <a:gd name="T3" fmla="*/ 1 h 1"/>
              <a:gd name="T4" fmla="*/ 0 60000 65536"/>
              <a:gd name="T5" fmla="*/ 0 60000 65536"/>
              <a:gd name="T6" fmla="*/ 0 w 273"/>
              <a:gd name="T7" fmla="*/ 0 h 1"/>
              <a:gd name="T8" fmla="*/ 273 w 273"/>
              <a:gd name="T9" fmla="*/ 1 h 1"/>
            </a:gdLst>
            <a:ahLst/>
            <a:cxnLst>
              <a:cxn ang="T4">
                <a:pos x="T0" y="T1"/>
              </a:cxn>
              <a:cxn ang="T5">
                <a:pos x="T2" y="T3"/>
              </a:cxn>
            </a:cxnLst>
            <a:rect l="T6" t="T7" r="T8" b="T9"/>
            <a:pathLst>
              <a:path w="273" h="1">
                <a:moveTo>
                  <a:pt x="0" y="0"/>
                </a:moveTo>
                <a:lnTo>
                  <a:pt x="273" y="1"/>
                </a:lnTo>
              </a:path>
            </a:pathLst>
          </a:custGeom>
          <a:noFill/>
          <a:ln w="9525" cap="flat" cmpd="sng">
            <a:solidFill>
              <a:srgbClr val="333399"/>
            </a:solidFill>
            <a:prstDash val="sysDot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1131" name="Freeform 1955">
            <a:extLst>
              <a:ext uri="{FF2B5EF4-FFF2-40B4-BE49-F238E27FC236}">
                <a16:creationId xmlns:a16="http://schemas.microsoft.com/office/drawing/2014/main" id="{00000000-0008-0000-0800-0000AB110300}"/>
              </a:ext>
            </a:extLst>
          </xdr:cNvPr>
          <xdr:cNvSpPr>
            <a:spLocks/>
          </xdr:cNvSpPr>
        </xdr:nvSpPr>
        <xdr:spPr bwMode="auto">
          <a:xfrm>
            <a:off x="2184" y="3269"/>
            <a:ext cx="630" cy="157"/>
          </a:xfrm>
          <a:custGeom>
            <a:avLst/>
            <a:gdLst>
              <a:gd name="T0" fmla="*/ 0 w 630"/>
              <a:gd name="T1" fmla="*/ 0 h 157"/>
              <a:gd name="T2" fmla="*/ 152 w 630"/>
              <a:gd name="T3" fmla="*/ 0 h 157"/>
              <a:gd name="T4" fmla="*/ 152 w 630"/>
              <a:gd name="T5" fmla="*/ 43 h 157"/>
              <a:gd name="T6" fmla="*/ 186 w 630"/>
              <a:gd name="T7" fmla="*/ 43 h 157"/>
              <a:gd name="T8" fmla="*/ 186 w 630"/>
              <a:gd name="T9" fmla="*/ 157 h 157"/>
              <a:gd name="T10" fmla="*/ 630 w 630"/>
              <a:gd name="T11" fmla="*/ 154 h 157"/>
              <a:gd name="T12" fmla="*/ 0 60000 65536"/>
              <a:gd name="T13" fmla="*/ 0 60000 65536"/>
              <a:gd name="T14" fmla="*/ 0 60000 65536"/>
              <a:gd name="T15" fmla="*/ 0 60000 65536"/>
              <a:gd name="T16" fmla="*/ 0 60000 65536"/>
              <a:gd name="T17" fmla="*/ 0 60000 65536"/>
              <a:gd name="T18" fmla="*/ 0 w 630"/>
              <a:gd name="T19" fmla="*/ 0 h 157"/>
              <a:gd name="T20" fmla="*/ 630 w 630"/>
              <a:gd name="T21" fmla="*/ 157 h 157"/>
            </a:gdLst>
            <a:ahLst/>
            <a:cxnLst>
              <a:cxn ang="T12">
                <a:pos x="T0" y="T1"/>
              </a:cxn>
              <a:cxn ang="T13">
                <a:pos x="T2" y="T3"/>
              </a:cxn>
              <a:cxn ang="T14">
                <a:pos x="T4" y="T5"/>
              </a:cxn>
              <a:cxn ang="T15">
                <a:pos x="T6" y="T7"/>
              </a:cxn>
              <a:cxn ang="T16">
                <a:pos x="T8" y="T9"/>
              </a:cxn>
              <a:cxn ang="T17">
                <a:pos x="T10" y="T11"/>
              </a:cxn>
            </a:cxnLst>
            <a:rect l="T18" t="T19" r="T20" b="T21"/>
            <a:pathLst>
              <a:path w="630" h="157">
                <a:moveTo>
                  <a:pt x="0" y="0"/>
                </a:moveTo>
                <a:lnTo>
                  <a:pt x="152" y="0"/>
                </a:lnTo>
                <a:lnTo>
                  <a:pt x="152" y="43"/>
                </a:lnTo>
                <a:lnTo>
                  <a:pt x="186" y="43"/>
                </a:lnTo>
                <a:lnTo>
                  <a:pt x="186" y="157"/>
                </a:lnTo>
                <a:lnTo>
                  <a:pt x="630" y="154"/>
                </a:lnTo>
              </a:path>
            </a:pathLst>
          </a:custGeom>
          <a:noFill/>
          <a:ln w="9525" cap="flat" cmpd="sng">
            <a:solidFill>
              <a:srgbClr val="333399"/>
            </a:solidFill>
            <a:prstDash val="sysDot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8580" name="Text Box 1956">
            <a:extLst>
              <a:ext uri="{FF2B5EF4-FFF2-40B4-BE49-F238E27FC236}">
                <a16:creationId xmlns:a16="http://schemas.microsoft.com/office/drawing/2014/main" id="{00000000-0008-0000-0800-0000A4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217" y="3513"/>
            <a:ext cx="53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7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581" name="Text Box 1957">
            <a:extLst>
              <a:ext uri="{FF2B5EF4-FFF2-40B4-BE49-F238E27FC236}">
                <a16:creationId xmlns:a16="http://schemas.microsoft.com/office/drawing/2014/main" id="{00000000-0008-0000-0800-0000A5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394" y="3732"/>
            <a:ext cx="100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28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582" name="Text Box 1958">
            <a:extLst>
              <a:ext uri="{FF2B5EF4-FFF2-40B4-BE49-F238E27FC236}">
                <a16:creationId xmlns:a16="http://schemas.microsoft.com/office/drawing/2014/main" id="{00000000-0008-0000-0800-0000A6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429" y="3845"/>
            <a:ext cx="47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3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583" name="Text Box 1959">
            <a:extLst>
              <a:ext uri="{FF2B5EF4-FFF2-40B4-BE49-F238E27FC236}">
                <a16:creationId xmlns:a16="http://schemas.microsoft.com/office/drawing/2014/main" id="{00000000-0008-0000-0800-0000A7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688" y="3697"/>
            <a:ext cx="94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20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584" name="Text Box 1960">
            <a:extLst>
              <a:ext uri="{FF2B5EF4-FFF2-40B4-BE49-F238E27FC236}">
                <a16:creationId xmlns:a16="http://schemas.microsoft.com/office/drawing/2014/main" id="{00000000-0008-0000-0800-0000A8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270" y="3133"/>
            <a:ext cx="241" cy="6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7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Corona                            </a:t>
            </a: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585" name="Text Box 1961">
            <a:extLst>
              <a:ext uri="{FF2B5EF4-FFF2-40B4-BE49-F238E27FC236}">
                <a16:creationId xmlns:a16="http://schemas.microsoft.com/office/drawing/2014/main" id="{00000000-0008-0000-0800-0000A9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893" y="2908"/>
            <a:ext cx="253" cy="7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7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</a:t>
            </a:r>
            <a:r>
              <a:rPr lang="en-US" sz="6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Mountainair</a:t>
            </a: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586" name="Text Box 1962">
            <a:extLst>
              <a:ext uri="{FF2B5EF4-FFF2-40B4-BE49-F238E27FC236}">
                <a16:creationId xmlns:a16="http://schemas.microsoft.com/office/drawing/2014/main" id="{00000000-0008-0000-0800-0000AA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258" y="2783"/>
            <a:ext cx="412" cy="11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12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County</a:t>
            </a:r>
            <a:endPara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01139" name="Freeform 1963">
            <a:extLst>
              <a:ext uri="{FF2B5EF4-FFF2-40B4-BE49-F238E27FC236}">
                <a16:creationId xmlns:a16="http://schemas.microsoft.com/office/drawing/2014/main" id="{00000000-0008-0000-0800-0000B3110300}"/>
              </a:ext>
            </a:extLst>
          </xdr:cNvPr>
          <xdr:cNvSpPr>
            <a:spLocks/>
          </xdr:cNvSpPr>
        </xdr:nvSpPr>
        <xdr:spPr bwMode="auto">
          <a:xfrm>
            <a:off x="1868" y="2705"/>
            <a:ext cx="301" cy="400"/>
          </a:xfrm>
          <a:custGeom>
            <a:avLst/>
            <a:gdLst>
              <a:gd name="T0" fmla="*/ 0 w 301"/>
              <a:gd name="T1" fmla="*/ 0 h 400"/>
              <a:gd name="T2" fmla="*/ 141 w 301"/>
              <a:gd name="T3" fmla="*/ 0 h 400"/>
              <a:gd name="T4" fmla="*/ 141 w 301"/>
              <a:gd name="T5" fmla="*/ 28 h 400"/>
              <a:gd name="T6" fmla="*/ 202 w 301"/>
              <a:gd name="T7" fmla="*/ 28 h 400"/>
              <a:gd name="T8" fmla="*/ 202 w 301"/>
              <a:gd name="T9" fmla="*/ 54 h 400"/>
              <a:gd name="T10" fmla="*/ 232 w 301"/>
              <a:gd name="T11" fmla="*/ 54 h 400"/>
              <a:gd name="T12" fmla="*/ 232 w 301"/>
              <a:gd name="T13" fmla="*/ 142 h 400"/>
              <a:gd name="T14" fmla="*/ 262 w 301"/>
              <a:gd name="T15" fmla="*/ 139 h 400"/>
              <a:gd name="T16" fmla="*/ 262 w 301"/>
              <a:gd name="T17" fmla="*/ 190 h 400"/>
              <a:gd name="T18" fmla="*/ 286 w 301"/>
              <a:gd name="T19" fmla="*/ 184 h 400"/>
              <a:gd name="T20" fmla="*/ 301 w 301"/>
              <a:gd name="T21" fmla="*/ 201 h 400"/>
              <a:gd name="T22" fmla="*/ 301 w 301"/>
              <a:gd name="T23" fmla="*/ 400 h 400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w 301"/>
              <a:gd name="T37" fmla="*/ 0 h 400"/>
              <a:gd name="T38" fmla="*/ 301 w 301"/>
              <a:gd name="T39" fmla="*/ 400 h 400"/>
            </a:gdLst>
            <a:ahLst/>
            <a:cxnLst>
              <a:cxn ang="T24">
                <a:pos x="T0" y="T1"/>
              </a:cxn>
              <a:cxn ang="T25">
                <a:pos x="T2" y="T3"/>
              </a:cxn>
              <a:cxn ang="T26">
                <a:pos x="T4" y="T5"/>
              </a:cxn>
              <a:cxn ang="T27">
                <a:pos x="T6" y="T7"/>
              </a:cxn>
              <a:cxn ang="T28">
                <a:pos x="T8" y="T9"/>
              </a:cxn>
              <a:cxn ang="T29">
                <a:pos x="T10" y="T11"/>
              </a:cxn>
              <a:cxn ang="T30">
                <a:pos x="T12" y="T13"/>
              </a:cxn>
              <a:cxn ang="T31">
                <a:pos x="T14" y="T15"/>
              </a:cxn>
              <a:cxn ang="T32">
                <a:pos x="T16" y="T17"/>
              </a:cxn>
              <a:cxn ang="T33">
                <a:pos x="T18" y="T19"/>
              </a:cxn>
              <a:cxn ang="T34">
                <a:pos x="T20" y="T21"/>
              </a:cxn>
              <a:cxn ang="T35">
                <a:pos x="T22" y="T23"/>
              </a:cxn>
            </a:cxnLst>
            <a:rect l="T36" t="T37" r="T38" b="T39"/>
            <a:pathLst>
              <a:path w="301" h="400">
                <a:moveTo>
                  <a:pt x="0" y="0"/>
                </a:moveTo>
                <a:lnTo>
                  <a:pt x="141" y="0"/>
                </a:lnTo>
                <a:lnTo>
                  <a:pt x="141" y="28"/>
                </a:lnTo>
                <a:lnTo>
                  <a:pt x="202" y="28"/>
                </a:lnTo>
                <a:lnTo>
                  <a:pt x="202" y="54"/>
                </a:lnTo>
                <a:lnTo>
                  <a:pt x="232" y="54"/>
                </a:lnTo>
                <a:lnTo>
                  <a:pt x="232" y="142"/>
                </a:lnTo>
                <a:lnTo>
                  <a:pt x="262" y="139"/>
                </a:lnTo>
                <a:lnTo>
                  <a:pt x="262" y="190"/>
                </a:lnTo>
                <a:lnTo>
                  <a:pt x="286" y="184"/>
                </a:lnTo>
                <a:lnTo>
                  <a:pt x="301" y="201"/>
                </a:lnTo>
                <a:lnTo>
                  <a:pt x="301" y="400"/>
                </a:lnTo>
              </a:path>
            </a:pathLst>
          </a:custGeom>
          <a:noFill/>
          <a:ln w="9525" cap="flat" cmpd="sng">
            <a:solidFill>
              <a:srgbClr val="333399"/>
            </a:solidFill>
            <a:prstDash val="sysDot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1140" name="Freeform 1964">
            <a:extLst>
              <a:ext uri="{FF2B5EF4-FFF2-40B4-BE49-F238E27FC236}">
                <a16:creationId xmlns:a16="http://schemas.microsoft.com/office/drawing/2014/main" id="{00000000-0008-0000-0800-0000B4110300}"/>
              </a:ext>
            </a:extLst>
          </xdr:cNvPr>
          <xdr:cNvSpPr>
            <a:spLocks/>
          </xdr:cNvSpPr>
        </xdr:nvSpPr>
        <xdr:spPr bwMode="auto">
          <a:xfrm>
            <a:off x="2058" y="2400"/>
            <a:ext cx="467" cy="168"/>
          </a:xfrm>
          <a:custGeom>
            <a:avLst/>
            <a:gdLst>
              <a:gd name="T0" fmla="*/ 467 w 467"/>
              <a:gd name="T1" fmla="*/ 0 h 168"/>
              <a:gd name="T2" fmla="*/ 467 w 467"/>
              <a:gd name="T3" fmla="*/ 68 h 168"/>
              <a:gd name="T4" fmla="*/ 393 w 467"/>
              <a:gd name="T5" fmla="*/ 68 h 168"/>
              <a:gd name="T6" fmla="*/ 393 w 467"/>
              <a:gd name="T7" fmla="*/ 168 h 168"/>
              <a:gd name="T8" fmla="*/ 75 w 467"/>
              <a:gd name="T9" fmla="*/ 168 h 168"/>
              <a:gd name="T10" fmla="*/ 75 w 467"/>
              <a:gd name="T11" fmla="*/ 135 h 168"/>
              <a:gd name="T12" fmla="*/ 0 w 467"/>
              <a:gd name="T13" fmla="*/ 135 h 168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467"/>
              <a:gd name="T22" fmla="*/ 0 h 168"/>
              <a:gd name="T23" fmla="*/ 467 w 467"/>
              <a:gd name="T24" fmla="*/ 168 h 168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467" h="168">
                <a:moveTo>
                  <a:pt x="467" y="0"/>
                </a:moveTo>
                <a:lnTo>
                  <a:pt x="467" y="68"/>
                </a:lnTo>
                <a:lnTo>
                  <a:pt x="393" y="68"/>
                </a:lnTo>
                <a:lnTo>
                  <a:pt x="393" y="168"/>
                </a:lnTo>
                <a:lnTo>
                  <a:pt x="75" y="168"/>
                </a:lnTo>
                <a:lnTo>
                  <a:pt x="75" y="135"/>
                </a:lnTo>
                <a:lnTo>
                  <a:pt x="0" y="135"/>
                </a:lnTo>
              </a:path>
            </a:pathLst>
          </a:custGeom>
          <a:noFill/>
          <a:ln w="9525" cap="flat" cmpd="sng">
            <a:solidFill>
              <a:srgbClr val="333399"/>
            </a:solidFill>
            <a:prstDash val="sysDot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1141" name="Freeform 1965">
            <a:extLst>
              <a:ext uri="{FF2B5EF4-FFF2-40B4-BE49-F238E27FC236}">
                <a16:creationId xmlns:a16="http://schemas.microsoft.com/office/drawing/2014/main" id="{00000000-0008-0000-0800-0000B5110300}"/>
              </a:ext>
            </a:extLst>
          </xdr:cNvPr>
          <xdr:cNvSpPr>
            <a:spLocks/>
          </xdr:cNvSpPr>
        </xdr:nvSpPr>
        <xdr:spPr bwMode="auto">
          <a:xfrm>
            <a:off x="2256" y="2571"/>
            <a:ext cx="102" cy="537"/>
          </a:xfrm>
          <a:custGeom>
            <a:avLst/>
            <a:gdLst>
              <a:gd name="T0" fmla="*/ 102 w 102"/>
              <a:gd name="T1" fmla="*/ 0 h 537"/>
              <a:gd name="T2" fmla="*/ 102 w 102"/>
              <a:gd name="T3" fmla="*/ 290 h 537"/>
              <a:gd name="T4" fmla="*/ 0 w 102"/>
              <a:gd name="T5" fmla="*/ 290 h 537"/>
              <a:gd name="T6" fmla="*/ 0 w 102"/>
              <a:gd name="T7" fmla="*/ 537 h 537"/>
              <a:gd name="T8" fmla="*/ 0 60000 65536"/>
              <a:gd name="T9" fmla="*/ 0 60000 65536"/>
              <a:gd name="T10" fmla="*/ 0 60000 65536"/>
              <a:gd name="T11" fmla="*/ 0 60000 65536"/>
              <a:gd name="T12" fmla="*/ 0 w 102"/>
              <a:gd name="T13" fmla="*/ 0 h 537"/>
              <a:gd name="T14" fmla="*/ 102 w 102"/>
              <a:gd name="T15" fmla="*/ 537 h 537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102" h="537">
                <a:moveTo>
                  <a:pt x="102" y="0"/>
                </a:moveTo>
                <a:lnTo>
                  <a:pt x="102" y="290"/>
                </a:lnTo>
                <a:lnTo>
                  <a:pt x="0" y="290"/>
                </a:lnTo>
                <a:lnTo>
                  <a:pt x="0" y="537"/>
                </a:lnTo>
              </a:path>
            </a:pathLst>
          </a:custGeom>
          <a:noFill/>
          <a:ln w="9525" cap="flat" cmpd="sng">
            <a:solidFill>
              <a:srgbClr val="333399"/>
            </a:solidFill>
            <a:prstDash val="sysDot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1142" name="Freeform 1966">
            <a:extLst>
              <a:ext uri="{FF2B5EF4-FFF2-40B4-BE49-F238E27FC236}">
                <a16:creationId xmlns:a16="http://schemas.microsoft.com/office/drawing/2014/main" id="{00000000-0008-0000-0800-0000B6110300}"/>
              </a:ext>
            </a:extLst>
          </xdr:cNvPr>
          <xdr:cNvSpPr>
            <a:spLocks/>
          </xdr:cNvSpPr>
        </xdr:nvSpPr>
        <xdr:spPr bwMode="auto">
          <a:xfrm>
            <a:off x="2255" y="2937"/>
            <a:ext cx="304" cy="39"/>
          </a:xfrm>
          <a:custGeom>
            <a:avLst/>
            <a:gdLst>
              <a:gd name="T0" fmla="*/ 0 w 304"/>
              <a:gd name="T1" fmla="*/ 0 h 39"/>
              <a:gd name="T2" fmla="*/ 100 w 304"/>
              <a:gd name="T3" fmla="*/ 0 h 39"/>
              <a:gd name="T4" fmla="*/ 109 w 304"/>
              <a:gd name="T5" fmla="*/ 24 h 39"/>
              <a:gd name="T6" fmla="*/ 145 w 304"/>
              <a:gd name="T7" fmla="*/ 39 h 39"/>
              <a:gd name="T8" fmla="*/ 304 w 304"/>
              <a:gd name="T9" fmla="*/ 39 h 39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  <a:gd name="T15" fmla="*/ 0 w 304"/>
              <a:gd name="T16" fmla="*/ 0 h 39"/>
              <a:gd name="T17" fmla="*/ 304 w 304"/>
              <a:gd name="T18" fmla="*/ 39 h 39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T15" t="T16" r="T17" b="T18"/>
            <a:pathLst>
              <a:path w="304" h="39">
                <a:moveTo>
                  <a:pt x="0" y="0"/>
                </a:moveTo>
                <a:lnTo>
                  <a:pt x="100" y="0"/>
                </a:lnTo>
                <a:lnTo>
                  <a:pt x="109" y="24"/>
                </a:lnTo>
                <a:lnTo>
                  <a:pt x="145" y="39"/>
                </a:lnTo>
                <a:lnTo>
                  <a:pt x="304" y="39"/>
                </a:lnTo>
              </a:path>
            </a:pathLst>
          </a:custGeom>
          <a:noFill/>
          <a:ln w="9525" cap="flat" cmpd="sng">
            <a:solidFill>
              <a:srgbClr val="333399"/>
            </a:solidFill>
            <a:prstDash val="sysDot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8591" name="Text Box 1967">
            <a:extLst>
              <a:ext uri="{FF2B5EF4-FFF2-40B4-BE49-F238E27FC236}">
                <a16:creationId xmlns:a16="http://schemas.microsoft.com/office/drawing/2014/main" id="{00000000-0008-0000-0800-0000AF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558" y="2593"/>
            <a:ext cx="141" cy="7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7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Belen</a:t>
            </a: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592" name="Text Box 1968">
            <a:extLst>
              <a:ext uri="{FF2B5EF4-FFF2-40B4-BE49-F238E27FC236}">
                <a16:creationId xmlns:a16="http://schemas.microsoft.com/office/drawing/2014/main" id="{00000000-0008-0000-0800-0000B0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446" y="2593"/>
            <a:ext cx="47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1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593" name="Text Box 1969">
            <a:extLst>
              <a:ext uri="{FF2B5EF4-FFF2-40B4-BE49-F238E27FC236}">
                <a16:creationId xmlns:a16="http://schemas.microsoft.com/office/drawing/2014/main" id="{00000000-0008-0000-0800-0000B1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681" y="2546"/>
            <a:ext cx="177" cy="6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7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Bosque</a:t>
            </a: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594" name="Text Box 1970">
            <a:extLst>
              <a:ext uri="{FF2B5EF4-FFF2-40B4-BE49-F238E27FC236}">
                <a16:creationId xmlns:a16="http://schemas.microsoft.com/office/drawing/2014/main" id="{00000000-0008-0000-0800-0000B2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699" y="2605"/>
            <a:ext cx="159" cy="6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7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Farms</a:t>
            </a: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595" name="Text Box 1971">
            <a:extLst>
              <a:ext uri="{FF2B5EF4-FFF2-40B4-BE49-F238E27FC236}">
                <a16:creationId xmlns:a16="http://schemas.microsoft.com/office/drawing/2014/main" id="{00000000-0008-0000-0800-0000B3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422" y="2540"/>
            <a:ext cx="241" cy="7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7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Los Lunas</a:t>
            </a: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01148" name="Freeform 1972">
            <a:extLst>
              <a:ext uri="{FF2B5EF4-FFF2-40B4-BE49-F238E27FC236}">
                <a16:creationId xmlns:a16="http://schemas.microsoft.com/office/drawing/2014/main" id="{00000000-0008-0000-0800-0000BC110300}"/>
              </a:ext>
            </a:extLst>
          </xdr:cNvPr>
          <xdr:cNvSpPr>
            <a:spLocks/>
          </xdr:cNvSpPr>
        </xdr:nvSpPr>
        <xdr:spPr bwMode="auto">
          <a:xfrm>
            <a:off x="1575" y="2670"/>
            <a:ext cx="291" cy="132"/>
          </a:xfrm>
          <a:custGeom>
            <a:avLst/>
            <a:gdLst>
              <a:gd name="T0" fmla="*/ 0 w 291"/>
              <a:gd name="T1" fmla="*/ 132 h 132"/>
              <a:gd name="T2" fmla="*/ 0 w 291"/>
              <a:gd name="T3" fmla="*/ 18 h 132"/>
              <a:gd name="T4" fmla="*/ 105 w 291"/>
              <a:gd name="T5" fmla="*/ 21 h 132"/>
              <a:gd name="T6" fmla="*/ 114 w 291"/>
              <a:gd name="T7" fmla="*/ 0 h 132"/>
              <a:gd name="T8" fmla="*/ 141 w 291"/>
              <a:gd name="T9" fmla="*/ 30 h 132"/>
              <a:gd name="T10" fmla="*/ 291 w 291"/>
              <a:gd name="T11" fmla="*/ 30 h 132"/>
              <a:gd name="T12" fmla="*/ 0 60000 65536"/>
              <a:gd name="T13" fmla="*/ 0 60000 65536"/>
              <a:gd name="T14" fmla="*/ 0 60000 65536"/>
              <a:gd name="T15" fmla="*/ 0 60000 65536"/>
              <a:gd name="T16" fmla="*/ 0 60000 65536"/>
              <a:gd name="T17" fmla="*/ 0 60000 65536"/>
              <a:gd name="T18" fmla="*/ 0 w 291"/>
              <a:gd name="T19" fmla="*/ 0 h 132"/>
              <a:gd name="T20" fmla="*/ 291 w 291"/>
              <a:gd name="T21" fmla="*/ 132 h 132"/>
            </a:gdLst>
            <a:ahLst/>
            <a:cxnLst>
              <a:cxn ang="T12">
                <a:pos x="T0" y="T1"/>
              </a:cxn>
              <a:cxn ang="T13">
                <a:pos x="T2" y="T3"/>
              </a:cxn>
              <a:cxn ang="T14">
                <a:pos x="T4" y="T5"/>
              </a:cxn>
              <a:cxn ang="T15">
                <a:pos x="T6" y="T7"/>
              </a:cxn>
              <a:cxn ang="T16">
                <a:pos x="T8" y="T9"/>
              </a:cxn>
              <a:cxn ang="T17">
                <a:pos x="T10" y="T11"/>
              </a:cxn>
            </a:cxnLst>
            <a:rect l="T18" t="T19" r="T20" b="T21"/>
            <a:pathLst>
              <a:path w="291" h="132">
                <a:moveTo>
                  <a:pt x="0" y="132"/>
                </a:moveTo>
                <a:lnTo>
                  <a:pt x="0" y="18"/>
                </a:lnTo>
                <a:lnTo>
                  <a:pt x="105" y="21"/>
                </a:lnTo>
                <a:lnTo>
                  <a:pt x="114" y="0"/>
                </a:lnTo>
                <a:lnTo>
                  <a:pt x="141" y="30"/>
                </a:lnTo>
                <a:lnTo>
                  <a:pt x="291" y="30"/>
                </a:lnTo>
              </a:path>
            </a:pathLst>
          </a:custGeom>
          <a:noFill/>
          <a:ln w="9525" cap="flat" cmpd="sng">
            <a:solidFill>
              <a:srgbClr val="333399"/>
            </a:solidFill>
            <a:prstDash val="sysDot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8597" name="Text Box 1973">
            <a:extLst>
              <a:ext uri="{FF2B5EF4-FFF2-40B4-BE49-F238E27FC236}">
                <a16:creationId xmlns:a16="http://schemas.microsoft.com/office/drawing/2014/main" id="{00000000-0008-0000-0800-0000B5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970" y="2593"/>
            <a:ext cx="212" cy="6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7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Estancia</a:t>
            </a: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598" name="Text Box 1974">
            <a:extLst>
              <a:ext uri="{FF2B5EF4-FFF2-40B4-BE49-F238E27FC236}">
                <a16:creationId xmlns:a16="http://schemas.microsoft.com/office/drawing/2014/main" id="{00000000-0008-0000-0800-0000B6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64" y="2688"/>
            <a:ext cx="188" cy="6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7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Willard</a:t>
            </a: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599" name="Text Box 1975">
            <a:extLst>
              <a:ext uri="{FF2B5EF4-FFF2-40B4-BE49-F238E27FC236}">
                <a16:creationId xmlns:a16="http://schemas.microsoft.com/office/drawing/2014/main" id="{00000000-0008-0000-0800-0000B7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353" y="2736"/>
            <a:ext cx="171" cy="6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7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Encino</a:t>
            </a: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600" name="Text Box 1976">
            <a:extLst>
              <a:ext uri="{FF2B5EF4-FFF2-40B4-BE49-F238E27FC236}">
                <a16:creationId xmlns:a16="http://schemas.microsoft.com/office/drawing/2014/main" id="{00000000-0008-0000-0800-0000B8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600" y="2700"/>
            <a:ext cx="188" cy="6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7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Vaughn</a:t>
            </a: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601" name="Text Box 1977">
            <a:extLst>
              <a:ext uri="{FF2B5EF4-FFF2-40B4-BE49-F238E27FC236}">
                <a16:creationId xmlns:a16="http://schemas.microsoft.com/office/drawing/2014/main" id="{00000000-0008-0000-0800-0000B9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688" y="2498"/>
            <a:ext cx="330" cy="6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7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Santa Rosa</a:t>
            </a: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01154" name="Freeform 1978">
            <a:extLst>
              <a:ext uri="{FF2B5EF4-FFF2-40B4-BE49-F238E27FC236}">
                <a16:creationId xmlns:a16="http://schemas.microsoft.com/office/drawing/2014/main" id="{00000000-0008-0000-0800-0000C2110300}"/>
              </a:ext>
            </a:extLst>
          </xdr:cNvPr>
          <xdr:cNvSpPr>
            <a:spLocks/>
          </xdr:cNvSpPr>
        </xdr:nvSpPr>
        <xdr:spPr bwMode="auto">
          <a:xfrm>
            <a:off x="2592" y="2640"/>
            <a:ext cx="240" cy="144"/>
          </a:xfrm>
          <a:custGeom>
            <a:avLst/>
            <a:gdLst>
              <a:gd name="T0" fmla="*/ 0 w 240"/>
              <a:gd name="T1" fmla="*/ 0 h 144"/>
              <a:gd name="T2" fmla="*/ 240 w 240"/>
              <a:gd name="T3" fmla="*/ 0 h 144"/>
              <a:gd name="T4" fmla="*/ 240 w 240"/>
              <a:gd name="T5" fmla="*/ 144 h 144"/>
              <a:gd name="T6" fmla="*/ 0 60000 65536"/>
              <a:gd name="T7" fmla="*/ 0 60000 65536"/>
              <a:gd name="T8" fmla="*/ 0 60000 65536"/>
              <a:gd name="T9" fmla="*/ 0 w 240"/>
              <a:gd name="T10" fmla="*/ 0 h 144"/>
              <a:gd name="T11" fmla="*/ 240 w 240"/>
              <a:gd name="T12" fmla="*/ 144 h 144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40" h="144">
                <a:moveTo>
                  <a:pt x="0" y="0"/>
                </a:moveTo>
                <a:lnTo>
                  <a:pt x="240" y="0"/>
                </a:lnTo>
                <a:lnTo>
                  <a:pt x="240" y="144"/>
                </a:lnTo>
              </a:path>
            </a:pathLst>
          </a:cu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 cap="flat" cmpd="sng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  <xdr:sp macro="" textlink="">
        <xdr:nvSpPr>
          <xdr:cNvPr id="201155" name="Freeform 1979">
            <a:extLst>
              <a:ext uri="{FF2B5EF4-FFF2-40B4-BE49-F238E27FC236}">
                <a16:creationId xmlns:a16="http://schemas.microsoft.com/office/drawing/2014/main" id="{00000000-0008-0000-0800-0000C3110300}"/>
              </a:ext>
            </a:extLst>
          </xdr:cNvPr>
          <xdr:cNvSpPr>
            <a:spLocks/>
          </xdr:cNvSpPr>
        </xdr:nvSpPr>
        <xdr:spPr bwMode="auto">
          <a:xfrm>
            <a:off x="2576" y="2639"/>
            <a:ext cx="258" cy="172"/>
          </a:xfrm>
          <a:custGeom>
            <a:avLst/>
            <a:gdLst>
              <a:gd name="T0" fmla="*/ 0 w 258"/>
              <a:gd name="T1" fmla="*/ 0 h 172"/>
              <a:gd name="T2" fmla="*/ 258 w 258"/>
              <a:gd name="T3" fmla="*/ 0 h 172"/>
              <a:gd name="T4" fmla="*/ 258 w 258"/>
              <a:gd name="T5" fmla="*/ 172 h 172"/>
              <a:gd name="T6" fmla="*/ 0 60000 65536"/>
              <a:gd name="T7" fmla="*/ 0 60000 65536"/>
              <a:gd name="T8" fmla="*/ 0 60000 65536"/>
              <a:gd name="T9" fmla="*/ 0 w 258"/>
              <a:gd name="T10" fmla="*/ 0 h 172"/>
              <a:gd name="T11" fmla="*/ 258 w 258"/>
              <a:gd name="T12" fmla="*/ 172 h 172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58" h="172">
                <a:moveTo>
                  <a:pt x="0" y="0"/>
                </a:moveTo>
                <a:lnTo>
                  <a:pt x="258" y="0"/>
                </a:lnTo>
                <a:lnTo>
                  <a:pt x="258" y="172"/>
                </a:lnTo>
              </a:path>
            </a:pathLst>
          </a:custGeom>
          <a:noFill/>
          <a:ln w="9525" cap="flat" cmpd="sng">
            <a:solidFill>
              <a:srgbClr val="333399"/>
            </a:solidFill>
            <a:prstDash val="sysDot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1156" name="Freeform 1980">
            <a:extLst>
              <a:ext uri="{FF2B5EF4-FFF2-40B4-BE49-F238E27FC236}">
                <a16:creationId xmlns:a16="http://schemas.microsoft.com/office/drawing/2014/main" id="{00000000-0008-0000-0800-0000C4110300}"/>
              </a:ext>
            </a:extLst>
          </xdr:cNvPr>
          <xdr:cNvSpPr>
            <a:spLocks/>
          </xdr:cNvSpPr>
        </xdr:nvSpPr>
        <xdr:spPr bwMode="auto">
          <a:xfrm>
            <a:off x="2012" y="1695"/>
            <a:ext cx="310" cy="108"/>
          </a:xfrm>
          <a:custGeom>
            <a:avLst/>
            <a:gdLst>
              <a:gd name="T0" fmla="*/ 0 w 310"/>
              <a:gd name="T1" fmla="*/ 108 h 108"/>
              <a:gd name="T2" fmla="*/ 163 w 310"/>
              <a:gd name="T3" fmla="*/ 108 h 108"/>
              <a:gd name="T4" fmla="*/ 163 w 310"/>
              <a:gd name="T5" fmla="*/ 0 h 108"/>
              <a:gd name="T6" fmla="*/ 310 w 310"/>
              <a:gd name="T7" fmla="*/ 0 h 108"/>
              <a:gd name="T8" fmla="*/ 0 60000 65536"/>
              <a:gd name="T9" fmla="*/ 0 60000 65536"/>
              <a:gd name="T10" fmla="*/ 0 60000 65536"/>
              <a:gd name="T11" fmla="*/ 0 60000 65536"/>
              <a:gd name="T12" fmla="*/ 0 w 310"/>
              <a:gd name="T13" fmla="*/ 0 h 108"/>
              <a:gd name="T14" fmla="*/ 310 w 310"/>
              <a:gd name="T15" fmla="*/ 108 h 108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310" h="108">
                <a:moveTo>
                  <a:pt x="0" y="108"/>
                </a:moveTo>
                <a:lnTo>
                  <a:pt x="163" y="108"/>
                </a:lnTo>
                <a:lnTo>
                  <a:pt x="163" y="0"/>
                </a:lnTo>
                <a:lnTo>
                  <a:pt x="310" y="0"/>
                </a:lnTo>
              </a:path>
            </a:pathLst>
          </a:custGeom>
          <a:noFill/>
          <a:ln w="9525" cap="flat" cmpd="sng">
            <a:solidFill>
              <a:srgbClr val="333399"/>
            </a:solidFill>
            <a:prstDash val="sysDot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1157" name="Freeform 1981">
            <a:extLst>
              <a:ext uri="{FF2B5EF4-FFF2-40B4-BE49-F238E27FC236}">
                <a16:creationId xmlns:a16="http://schemas.microsoft.com/office/drawing/2014/main" id="{00000000-0008-0000-0800-0000C5110300}"/>
              </a:ext>
            </a:extLst>
          </xdr:cNvPr>
          <xdr:cNvSpPr>
            <a:spLocks/>
          </xdr:cNvSpPr>
        </xdr:nvSpPr>
        <xdr:spPr bwMode="auto">
          <a:xfrm>
            <a:off x="2331" y="1665"/>
            <a:ext cx="126" cy="468"/>
          </a:xfrm>
          <a:custGeom>
            <a:avLst/>
            <a:gdLst>
              <a:gd name="T0" fmla="*/ 0 w 126"/>
              <a:gd name="T1" fmla="*/ 339 h 468"/>
              <a:gd name="T2" fmla="*/ 15 w 126"/>
              <a:gd name="T3" fmla="*/ 360 h 468"/>
              <a:gd name="T4" fmla="*/ 21 w 126"/>
              <a:gd name="T5" fmla="*/ 378 h 468"/>
              <a:gd name="T6" fmla="*/ 36 w 126"/>
              <a:gd name="T7" fmla="*/ 390 h 468"/>
              <a:gd name="T8" fmla="*/ 51 w 126"/>
              <a:gd name="T9" fmla="*/ 408 h 468"/>
              <a:gd name="T10" fmla="*/ 72 w 126"/>
              <a:gd name="T11" fmla="*/ 423 h 468"/>
              <a:gd name="T12" fmla="*/ 105 w 126"/>
              <a:gd name="T13" fmla="*/ 468 h 468"/>
              <a:gd name="T14" fmla="*/ 126 w 126"/>
              <a:gd name="T15" fmla="*/ 420 h 468"/>
              <a:gd name="T16" fmla="*/ 126 w 126"/>
              <a:gd name="T17" fmla="*/ 291 h 468"/>
              <a:gd name="T18" fmla="*/ 111 w 126"/>
              <a:gd name="T19" fmla="*/ 273 h 468"/>
              <a:gd name="T20" fmla="*/ 111 w 126"/>
              <a:gd name="T21" fmla="*/ 0 h 468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w 126"/>
              <a:gd name="T34" fmla="*/ 0 h 468"/>
              <a:gd name="T35" fmla="*/ 126 w 126"/>
              <a:gd name="T36" fmla="*/ 468 h 468"/>
            </a:gdLst>
            <a:ahLst/>
            <a:cxnLst>
              <a:cxn ang="T22">
                <a:pos x="T0" y="T1"/>
              </a:cxn>
              <a:cxn ang="T23">
                <a:pos x="T2" y="T3"/>
              </a:cxn>
              <a:cxn ang="T24">
                <a:pos x="T4" y="T5"/>
              </a:cxn>
              <a:cxn ang="T25">
                <a:pos x="T6" y="T7"/>
              </a:cxn>
              <a:cxn ang="T26">
                <a:pos x="T8" y="T9"/>
              </a:cxn>
              <a:cxn ang="T27">
                <a:pos x="T10" y="T11"/>
              </a:cxn>
              <a:cxn ang="T28">
                <a:pos x="T12" y="T13"/>
              </a:cxn>
              <a:cxn ang="T29">
                <a:pos x="T14" y="T15"/>
              </a:cxn>
              <a:cxn ang="T30">
                <a:pos x="T16" y="T17"/>
              </a:cxn>
              <a:cxn ang="T31">
                <a:pos x="T18" y="T19"/>
              </a:cxn>
              <a:cxn ang="T32">
                <a:pos x="T20" y="T21"/>
              </a:cxn>
            </a:cxnLst>
            <a:rect l="T33" t="T34" r="T35" b="T36"/>
            <a:pathLst>
              <a:path w="126" h="468">
                <a:moveTo>
                  <a:pt x="0" y="339"/>
                </a:moveTo>
                <a:cubicBezTo>
                  <a:pt x="10" y="346"/>
                  <a:pt x="10" y="350"/>
                  <a:pt x="15" y="360"/>
                </a:cubicBezTo>
                <a:lnTo>
                  <a:pt x="21" y="378"/>
                </a:lnTo>
                <a:lnTo>
                  <a:pt x="36" y="390"/>
                </a:lnTo>
                <a:lnTo>
                  <a:pt x="51" y="408"/>
                </a:lnTo>
                <a:lnTo>
                  <a:pt x="72" y="423"/>
                </a:lnTo>
                <a:lnTo>
                  <a:pt x="105" y="468"/>
                </a:lnTo>
                <a:lnTo>
                  <a:pt x="126" y="420"/>
                </a:lnTo>
                <a:lnTo>
                  <a:pt x="126" y="291"/>
                </a:lnTo>
                <a:lnTo>
                  <a:pt x="111" y="273"/>
                </a:lnTo>
                <a:lnTo>
                  <a:pt x="111" y="0"/>
                </a:lnTo>
              </a:path>
            </a:pathLst>
          </a:custGeom>
          <a:noFill/>
          <a:ln w="9525" cap="flat" cmpd="sng">
            <a:solidFill>
              <a:srgbClr val="333399"/>
            </a:solidFill>
            <a:prstDash val="sysDot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1158" name="Freeform 1982">
            <a:extLst>
              <a:ext uri="{FF2B5EF4-FFF2-40B4-BE49-F238E27FC236}">
                <a16:creationId xmlns:a16="http://schemas.microsoft.com/office/drawing/2014/main" id="{00000000-0008-0000-0800-0000C6110300}"/>
              </a:ext>
            </a:extLst>
          </xdr:cNvPr>
          <xdr:cNvSpPr>
            <a:spLocks/>
          </xdr:cNvSpPr>
        </xdr:nvSpPr>
        <xdr:spPr bwMode="auto">
          <a:xfrm>
            <a:off x="2448" y="1824"/>
            <a:ext cx="336" cy="256"/>
          </a:xfrm>
          <a:custGeom>
            <a:avLst/>
            <a:gdLst>
              <a:gd name="T0" fmla="*/ 0 w 336"/>
              <a:gd name="T1" fmla="*/ 0 h 256"/>
              <a:gd name="T2" fmla="*/ 42 w 336"/>
              <a:gd name="T3" fmla="*/ 5 h 256"/>
              <a:gd name="T4" fmla="*/ 54 w 336"/>
              <a:gd name="T5" fmla="*/ 29 h 256"/>
              <a:gd name="T6" fmla="*/ 72 w 336"/>
              <a:gd name="T7" fmla="*/ 23 h 256"/>
              <a:gd name="T8" fmla="*/ 76 w 336"/>
              <a:gd name="T9" fmla="*/ 44 h 256"/>
              <a:gd name="T10" fmla="*/ 93 w 336"/>
              <a:gd name="T11" fmla="*/ 35 h 256"/>
              <a:gd name="T12" fmla="*/ 120 w 336"/>
              <a:gd name="T13" fmla="*/ 32 h 256"/>
              <a:gd name="T14" fmla="*/ 123 w 336"/>
              <a:gd name="T15" fmla="*/ 53 h 256"/>
              <a:gd name="T16" fmla="*/ 162 w 336"/>
              <a:gd name="T17" fmla="*/ 54 h 256"/>
              <a:gd name="T18" fmla="*/ 180 w 336"/>
              <a:gd name="T19" fmla="*/ 98 h 256"/>
              <a:gd name="T20" fmla="*/ 180 w 336"/>
              <a:gd name="T21" fmla="*/ 136 h 256"/>
              <a:gd name="T22" fmla="*/ 228 w 336"/>
              <a:gd name="T23" fmla="*/ 256 h 256"/>
              <a:gd name="T24" fmla="*/ 308 w 336"/>
              <a:gd name="T25" fmla="*/ 238 h 256"/>
              <a:gd name="T26" fmla="*/ 336 w 336"/>
              <a:gd name="T27" fmla="*/ 256 h 25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w 336"/>
              <a:gd name="T43" fmla="*/ 0 h 256"/>
              <a:gd name="T44" fmla="*/ 336 w 336"/>
              <a:gd name="T45" fmla="*/ 256 h 256"/>
            </a:gdLst>
            <a:ahLst/>
            <a:cxnLst>
              <a:cxn ang="T28">
                <a:pos x="T0" y="T1"/>
              </a:cxn>
              <a:cxn ang="T29">
                <a:pos x="T2" y="T3"/>
              </a:cxn>
              <a:cxn ang="T30">
                <a:pos x="T4" y="T5"/>
              </a:cxn>
              <a:cxn ang="T31">
                <a:pos x="T6" y="T7"/>
              </a:cxn>
              <a:cxn ang="T32">
                <a:pos x="T8" y="T9"/>
              </a:cxn>
              <a:cxn ang="T33">
                <a:pos x="T10" y="T11"/>
              </a:cxn>
              <a:cxn ang="T34">
                <a:pos x="T12" y="T13"/>
              </a:cxn>
              <a:cxn ang="T35">
                <a:pos x="T14" y="T15"/>
              </a:cxn>
              <a:cxn ang="T36">
                <a:pos x="T16" y="T17"/>
              </a:cxn>
              <a:cxn ang="T37">
                <a:pos x="T18" y="T19"/>
              </a:cxn>
              <a:cxn ang="T38">
                <a:pos x="T20" y="T21"/>
              </a:cxn>
              <a:cxn ang="T39">
                <a:pos x="T22" y="T23"/>
              </a:cxn>
              <a:cxn ang="T40">
                <a:pos x="T24" y="T25"/>
              </a:cxn>
              <a:cxn ang="T41">
                <a:pos x="T26" y="T27"/>
              </a:cxn>
            </a:cxnLst>
            <a:rect l="T42" t="T43" r="T44" b="T45"/>
            <a:pathLst>
              <a:path w="336" h="256">
                <a:moveTo>
                  <a:pt x="0" y="0"/>
                </a:moveTo>
                <a:lnTo>
                  <a:pt x="42" y="5"/>
                </a:lnTo>
                <a:lnTo>
                  <a:pt x="54" y="29"/>
                </a:lnTo>
                <a:lnTo>
                  <a:pt x="72" y="23"/>
                </a:lnTo>
                <a:lnTo>
                  <a:pt x="76" y="44"/>
                </a:lnTo>
                <a:lnTo>
                  <a:pt x="93" y="35"/>
                </a:lnTo>
                <a:lnTo>
                  <a:pt x="120" y="32"/>
                </a:lnTo>
                <a:lnTo>
                  <a:pt x="123" y="53"/>
                </a:lnTo>
                <a:lnTo>
                  <a:pt x="162" y="54"/>
                </a:lnTo>
                <a:lnTo>
                  <a:pt x="180" y="98"/>
                </a:lnTo>
                <a:lnTo>
                  <a:pt x="180" y="136"/>
                </a:lnTo>
                <a:lnTo>
                  <a:pt x="228" y="256"/>
                </a:lnTo>
                <a:lnTo>
                  <a:pt x="308" y="238"/>
                </a:lnTo>
                <a:lnTo>
                  <a:pt x="336" y="256"/>
                </a:lnTo>
              </a:path>
            </a:pathLst>
          </a:custGeom>
          <a:noFill/>
          <a:ln w="9525" cap="flat" cmpd="sng">
            <a:solidFill>
              <a:srgbClr val="333399"/>
            </a:solidFill>
            <a:prstDash val="sysDot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1159" name="Freeform 1983">
            <a:extLst>
              <a:ext uri="{FF2B5EF4-FFF2-40B4-BE49-F238E27FC236}">
                <a16:creationId xmlns:a16="http://schemas.microsoft.com/office/drawing/2014/main" id="{00000000-0008-0000-0800-0000C7110300}"/>
              </a:ext>
            </a:extLst>
          </xdr:cNvPr>
          <xdr:cNvSpPr>
            <a:spLocks/>
          </xdr:cNvSpPr>
        </xdr:nvSpPr>
        <xdr:spPr bwMode="auto">
          <a:xfrm>
            <a:off x="2985" y="1728"/>
            <a:ext cx="327" cy="274"/>
          </a:xfrm>
          <a:custGeom>
            <a:avLst/>
            <a:gdLst>
              <a:gd name="T0" fmla="*/ 15 w 327"/>
              <a:gd name="T1" fmla="*/ 274 h 274"/>
              <a:gd name="T2" fmla="*/ 0 w 327"/>
              <a:gd name="T3" fmla="*/ 164 h 274"/>
              <a:gd name="T4" fmla="*/ 69 w 327"/>
              <a:gd name="T5" fmla="*/ 86 h 274"/>
              <a:gd name="T6" fmla="*/ 69 w 327"/>
              <a:gd name="T7" fmla="*/ 116 h 274"/>
              <a:gd name="T8" fmla="*/ 108 w 327"/>
              <a:gd name="T9" fmla="*/ 113 h 274"/>
              <a:gd name="T10" fmla="*/ 123 w 327"/>
              <a:gd name="T11" fmla="*/ 137 h 274"/>
              <a:gd name="T12" fmla="*/ 327 w 327"/>
              <a:gd name="T13" fmla="*/ 0 h 274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327"/>
              <a:gd name="T22" fmla="*/ 0 h 274"/>
              <a:gd name="T23" fmla="*/ 327 w 327"/>
              <a:gd name="T24" fmla="*/ 274 h 274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327" h="274">
                <a:moveTo>
                  <a:pt x="15" y="274"/>
                </a:moveTo>
                <a:lnTo>
                  <a:pt x="0" y="164"/>
                </a:lnTo>
                <a:lnTo>
                  <a:pt x="69" y="86"/>
                </a:lnTo>
                <a:lnTo>
                  <a:pt x="69" y="116"/>
                </a:lnTo>
                <a:lnTo>
                  <a:pt x="108" y="113"/>
                </a:lnTo>
                <a:lnTo>
                  <a:pt x="123" y="137"/>
                </a:lnTo>
                <a:lnTo>
                  <a:pt x="327" y="0"/>
                </a:lnTo>
              </a:path>
            </a:pathLst>
          </a:custGeom>
          <a:noFill/>
          <a:ln w="9525" cap="flat" cmpd="sng">
            <a:solidFill>
              <a:srgbClr val="333399"/>
            </a:solidFill>
            <a:prstDash val="sysDot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1160" name="Line 1984">
            <a:extLst>
              <a:ext uri="{FF2B5EF4-FFF2-40B4-BE49-F238E27FC236}">
                <a16:creationId xmlns:a16="http://schemas.microsoft.com/office/drawing/2014/main" id="{00000000-0008-0000-0800-0000C8110300}"/>
              </a:ext>
            </a:extLst>
          </xdr:cNvPr>
          <xdr:cNvSpPr>
            <a:spLocks noChangeShapeType="1"/>
          </xdr:cNvSpPr>
        </xdr:nvSpPr>
        <xdr:spPr bwMode="auto">
          <a:xfrm>
            <a:off x="3399" y="2891"/>
            <a:ext cx="132" cy="0"/>
          </a:xfrm>
          <a:prstGeom prst="line">
            <a:avLst/>
          </a:prstGeom>
          <a:noFill/>
          <a:ln w="9525">
            <a:solidFill>
              <a:srgbClr val="333399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01161" name="Freeform 1985">
            <a:extLst>
              <a:ext uri="{FF2B5EF4-FFF2-40B4-BE49-F238E27FC236}">
                <a16:creationId xmlns:a16="http://schemas.microsoft.com/office/drawing/2014/main" id="{00000000-0008-0000-0800-0000C9110300}"/>
              </a:ext>
            </a:extLst>
          </xdr:cNvPr>
          <xdr:cNvSpPr>
            <a:spLocks/>
          </xdr:cNvSpPr>
        </xdr:nvSpPr>
        <xdr:spPr bwMode="auto">
          <a:xfrm>
            <a:off x="3399" y="3011"/>
            <a:ext cx="129" cy="1"/>
          </a:xfrm>
          <a:custGeom>
            <a:avLst/>
            <a:gdLst>
              <a:gd name="T0" fmla="*/ 0 w 129"/>
              <a:gd name="T1" fmla="*/ 0 h 1"/>
              <a:gd name="T2" fmla="*/ 129 w 129"/>
              <a:gd name="T3" fmla="*/ 0 h 1"/>
              <a:gd name="T4" fmla="*/ 0 60000 65536"/>
              <a:gd name="T5" fmla="*/ 0 60000 65536"/>
              <a:gd name="T6" fmla="*/ 0 w 129"/>
              <a:gd name="T7" fmla="*/ 0 h 1"/>
              <a:gd name="T8" fmla="*/ 129 w 129"/>
              <a:gd name="T9" fmla="*/ 1 h 1"/>
            </a:gdLst>
            <a:ahLst/>
            <a:cxnLst>
              <a:cxn ang="T4">
                <a:pos x="T0" y="T1"/>
              </a:cxn>
              <a:cxn ang="T5">
                <a:pos x="T2" y="T3"/>
              </a:cxn>
            </a:cxnLst>
            <a:rect l="T6" t="T7" r="T8" b="T9"/>
            <a:pathLst>
              <a:path w="129" h="1">
                <a:moveTo>
                  <a:pt x="0" y="0"/>
                </a:moveTo>
                <a:lnTo>
                  <a:pt x="129" y="0"/>
                </a:lnTo>
              </a:path>
            </a:pathLst>
          </a:custGeom>
          <a:noFill/>
          <a:ln w="9525" cap="flat" cmpd="sng">
            <a:solidFill>
              <a:srgbClr val="333399"/>
            </a:solidFill>
            <a:prstDash val="sysDot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1162" name="Freeform 1986">
            <a:extLst>
              <a:ext uri="{FF2B5EF4-FFF2-40B4-BE49-F238E27FC236}">
                <a16:creationId xmlns:a16="http://schemas.microsoft.com/office/drawing/2014/main" id="{00000000-0008-0000-0800-0000CA110300}"/>
              </a:ext>
            </a:extLst>
          </xdr:cNvPr>
          <xdr:cNvSpPr>
            <a:spLocks/>
          </xdr:cNvSpPr>
        </xdr:nvSpPr>
        <xdr:spPr bwMode="auto">
          <a:xfrm>
            <a:off x="3837" y="3080"/>
            <a:ext cx="123" cy="94"/>
          </a:xfrm>
          <a:custGeom>
            <a:avLst/>
            <a:gdLst>
              <a:gd name="T0" fmla="*/ 14 w 123"/>
              <a:gd name="T1" fmla="*/ 0 h 94"/>
              <a:gd name="T2" fmla="*/ 13 w 123"/>
              <a:gd name="T3" fmla="*/ 66 h 94"/>
              <a:gd name="T4" fmla="*/ 0 w 123"/>
              <a:gd name="T5" fmla="*/ 66 h 94"/>
              <a:gd name="T6" fmla="*/ 0 w 123"/>
              <a:gd name="T7" fmla="*/ 94 h 94"/>
              <a:gd name="T8" fmla="*/ 123 w 123"/>
              <a:gd name="T9" fmla="*/ 94 h 94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  <a:gd name="T15" fmla="*/ 0 w 123"/>
              <a:gd name="T16" fmla="*/ 0 h 94"/>
              <a:gd name="T17" fmla="*/ 123 w 123"/>
              <a:gd name="T18" fmla="*/ 94 h 94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T15" t="T16" r="T17" b="T18"/>
            <a:pathLst>
              <a:path w="123" h="94">
                <a:moveTo>
                  <a:pt x="14" y="0"/>
                </a:moveTo>
                <a:lnTo>
                  <a:pt x="13" y="66"/>
                </a:lnTo>
                <a:lnTo>
                  <a:pt x="0" y="66"/>
                </a:lnTo>
                <a:lnTo>
                  <a:pt x="0" y="94"/>
                </a:lnTo>
                <a:lnTo>
                  <a:pt x="123" y="94"/>
                </a:lnTo>
              </a:path>
            </a:pathLst>
          </a:custGeom>
          <a:noFill/>
          <a:ln w="9525" cap="flat" cmpd="sng">
            <a:solidFill>
              <a:srgbClr val="333399"/>
            </a:solidFill>
            <a:prstDash val="sysDot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1163" name="Freeform 1987">
            <a:extLst>
              <a:ext uri="{FF2B5EF4-FFF2-40B4-BE49-F238E27FC236}">
                <a16:creationId xmlns:a16="http://schemas.microsoft.com/office/drawing/2014/main" id="{00000000-0008-0000-0800-0000CB110300}"/>
              </a:ext>
            </a:extLst>
          </xdr:cNvPr>
          <xdr:cNvSpPr>
            <a:spLocks/>
          </xdr:cNvSpPr>
        </xdr:nvSpPr>
        <xdr:spPr bwMode="auto">
          <a:xfrm>
            <a:off x="3372" y="3278"/>
            <a:ext cx="99" cy="232"/>
          </a:xfrm>
          <a:custGeom>
            <a:avLst/>
            <a:gdLst>
              <a:gd name="T0" fmla="*/ 2 w 99"/>
              <a:gd name="T1" fmla="*/ 0 h 232"/>
              <a:gd name="T2" fmla="*/ 2 w 99"/>
              <a:gd name="T3" fmla="*/ 88 h 232"/>
              <a:gd name="T4" fmla="*/ 32 w 99"/>
              <a:gd name="T5" fmla="*/ 88 h 232"/>
              <a:gd name="T6" fmla="*/ 32 w 99"/>
              <a:gd name="T7" fmla="*/ 232 h 232"/>
              <a:gd name="T8" fmla="*/ 99 w 99"/>
              <a:gd name="T9" fmla="*/ 232 h 232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  <a:gd name="T15" fmla="*/ 0 w 99"/>
              <a:gd name="T16" fmla="*/ 0 h 232"/>
              <a:gd name="T17" fmla="*/ 99 w 99"/>
              <a:gd name="T18" fmla="*/ 232 h 232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T15" t="T16" r="T17" b="T18"/>
            <a:pathLst>
              <a:path w="99" h="232">
                <a:moveTo>
                  <a:pt x="2" y="0"/>
                </a:moveTo>
                <a:cubicBezTo>
                  <a:pt x="2" y="14"/>
                  <a:pt x="0" y="73"/>
                  <a:pt x="2" y="88"/>
                </a:cubicBezTo>
                <a:lnTo>
                  <a:pt x="32" y="88"/>
                </a:lnTo>
                <a:lnTo>
                  <a:pt x="32" y="232"/>
                </a:lnTo>
                <a:lnTo>
                  <a:pt x="99" y="232"/>
                </a:lnTo>
              </a:path>
            </a:pathLst>
          </a:custGeom>
          <a:noFill/>
          <a:ln w="9525" cap="flat" cmpd="sng">
            <a:solidFill>
              <a:srgbClr val="333399"/>
            </a:solidFill>
            <a:prstDash val="sysDot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1164" name="Freeform 1988">
            <a:extLst>
              <a:ext uri="{FF2B5EF4-FFF2-40B4-BE49-F238E27FC236}">
                <a16:creationId xmlns:a16="http://schemas.microsoft.com/office/drawing/2014/main" id="{00000000-0008-0000-0800-0000CC110300}"/>
              </a:ext>
            </a:extLst>
          </xdr:cNvPr>
          <xdr:cNvSpPr>
            <a:spLocks/>
          </xdr:cNvSpPr>
        </xdr:nvSpPr>
        <xdr:spPr bwMode="auto">
          <a:xfrm>
            <a:off x="3435" y="3510"/>
            <a:ext cx="111" cy="153"/>
          </a:xfrm>
          <a:custGeom>
            <a:avLst/>
            <a:gdLst>
              <a:gd name="T0" fmla="*/ 0 w 111"/>
              <a:gd name="T1" fmla="*/ 0 h 153"/>
              <a:gd name="T2" fmla="*/ 0 w 111"/>
              <a:gd name="T3" fmla="*/ 78 h 153"/>
              <a:gd name="T4" fmla="*/ 41 w 111"/>
              <a:gd name="T5" fmla="*/ 78 h 153"/>
              <a:gd name="T6" fmla="*/ 41 w 111"/>
              <a:gd name="T7" fmla="*/ 125 h 153"/>
              <a:gd name="T8" fmla="*/ 80 w 111"/>
              <a:gd name="T9" fmla="*/ 125 h 153"/>
              <a:gd name="T10" fmla="*/ 80 w 111"/>
              <a:gd name="T11" fmla="*/ 153 h 153"/>
              <a:gd name="T12" fmla="*/ 111 w 111"/>
              <a:gd name="T13" fmla="*/ 153 h 153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111"/>
              <a:gd name="T22" fmla="*/ 0 h 153"/>
              <a:gd name="T23" fmla="*/ 111 w 111"/>
              <a:gd name="T24" fmla="*/ 153 h 153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111" h="153">
                <a:moveTo>
                  <a:pt x="0" y="0"/>
                </a:moveTo>
                <a:lnTo>
                  <a:pt x="0" y="78"/>
                </a:lnTo>
                <a:lnTo>
                  <a:pt x="41" y="78"/>
                </a:lnTo>
                <a:lnTo>
                  <a:pt x="41" y="125"/>
                </a:lnTo>
                <a:lnTo>
                  <a:pt x="80" y="125"/>
                </a:lnTo>
                <a:lnTo>
                  <a:pt x="80" y="153"/>
                </a:lnTo>
                <a:lnTo>
                  <a:pt x="111" y="153"/>
                </a:lnTo>
              </a:path>
            </a:pathLst>
          </a:custGeom>
          <a:noFill/>
          <a:ln w="9525" cap="flat" cmpd="sng">
            <a:solidFill>
              <a:srgbClr val="333399"/>
            </a:solidFill>
            <a:prstDash val="sysDot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1165" name="Freeform 1989">
            <a:extLst>
              <a:ext uri="{FF2B5EF4-FFF2-40B4-BE49-F238E27FC236}">
                <a16:creationId xmlns:a16="http://schemas.microsoft.com/office/drawing/2014/main" id="{00000000-0008-0000-0800-0000CD110300}"/>
              </a:ext>
            </a:extLst>
          </xdr:cNvPr>
          <xdr:cNvSpPr>
            <a:spLocks/>
          </xdr:cNvSpPr>
        </xdr:nvSpPr>
        <xdr:spPr bwMode="auto">
          <a:xfrm>
            <a:off x="3442" y="3202"/>
            <a:ext cx="270" cy="457"/>
          </a:xfrm>
          <a:custGeom>
            <a:avLst/>
            <a:gdLst>
              <a:gd name="T0" fmla="*/ 182 w 270"/>
              <a:gd name="T1" fmla="*/ 457 h 457"/>
              <a:gd name="T2" fmla="*/ 182 w 270"/>
              <a:gd name="T3" fmla="*/ 392 h 457"/>
              <a:gd name="T4" fmla="*/ 247 w 270"/>
              <a:gd name="T5" fmla="*/ 392 h 457"/>
              <a:gd name="T6" fmla="*/ 248 w 270"/>
              <a:gd name="T7" fmla="*/ 300 h 457"/>
              <a:gd name="T8" fmla="*/ 254 w 270"/>
              <a:gd name="T9" fmla="*/ 256 h 457"/>
              <a:gd name="T10" fmla="*/ 270 w 270"/>
              <a:gd name="T11" fmla="*/ 256 h 457"/>
              <a:gd name="T12" fmla="*/ 268 w 270"/>
              <a:gd name="T13" fmla="*/ 238 h 457"/>
              <a:gd name="T14" fmla="*/ 242 w 270"/>
              <a:gd name="T15" fmla="*/ 240 h 457"/>
              <a:gd name="T16" fmla="*/ 242 w 270"/>
              <a:gd name="T17" fmla="*/ 224 h 457"/>
              <a:gd name="T18" fmla="*/ 250 w 270"/>
              <a:gd name="T19" fmla="*/ 208 h 457"/>
              <a:gd name="T20" fmla="*/ 254 w 270"/>
              <a:gd name="T21" fmla="*/ 130 h 457"/>
              <a:gd name="T22" fmla="*/ 212 w 270"/>
              <a:gd name="T23" fmla="*/ 128 h 457"/>
              <a:gd name="T24" fmla="*/ 214 w 270"/>
              <a:gd name="T25" fmla="*/ 74 h 457"/>
              <a:gd name="T26" fmla="*/ 172 w 270"/>
              <a:gd name="T27" fmla="*/ 74 h 457"/>
              <a:gd name="T28" fmla="*/ 170 w 270"/>
              <a:gd name="T29" fmla="*/ 60 h 457"/>
              <a:gd name="T30" fmla="*/ 116 w 270"/>
              <a:gd name="T31" fmla="*/ 62 h 457"/>
              <a:gd name="T32" fmla="*/ 116 w 270"/>
              <a:gd name="T33" fmla="*/ 50 h 457"/>
              <a:gd name="T34" fmla="*/ 82 w 270"/>
              <a:gd name="T35" fmla="*/ 50 h 457"/>
              <a:gd name="T36" fmla="*/ 78 w 270"/>
              <a:gd name="T37" fmla="*/ 0 h 457"/>
              <a:gd name="T38" fmla="*/ 0 w 270"/>
              <a:gd name="T39" fmla="*/ 0 h 457"/>
              <a:gd name="T40" fmla="*/ 0 w 270"/>
              <a:gd name="T41" fmla="*/ 76 h 457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  <a:gd name="T63" fmla="*/ 0 w 270"/>
              <a:gd name="T64" fmla="*/ 0 h 457"/>
              <a:gd name="T65" fmla="*/ 270 w 270"/>
              <a:gd name="T66" fmla="*/ 457 h 457"/>
            </a:gdLst>
            <a:ahLst/>
            <a:cxnLst>
              <a:cxn ang="T42">
                <a:pos x="T0" y="T1"/>
              </a:cxn>
              <a:cxn ang="T43">
                <a:pos x="T2" y="T3"/>
              </a:cxn>
              <a:cxn ang="T44">
                <a:pos x="T4" y="T5"/>
              </a:cxn>
              <a:cxn ang="T45">
                <a:pos x="T6" y="T7"/>
              </a:cxn>
              <a:cxn ang="T46">
                <a:pos x="T8" y="T9"/>
              </a:cxn>
              <a:cxn ang="T47">
                <a:pos x="T10" y="T11"/>
              </a:cxn>
              <a:cxn ang="T48">
                <a:pos x="T12" y="T13"/>
              </a:cxn>
              <a:cxn ang="T49">
                <a:pos x="T14" y="T15"/>
              </a:cxn>
              <a:cxn ang="T50">
                <a:pos x="T16" y="T17"/>
              </a:cxn>
              <a:cxn ang="T51">
                <a:pos x="T18" y="T19"/>
              </a:cxn>
              <a:cxn ang="T52">
                <a:pos x="T20" y="T21"/>
              </a:cxn>
              <a:cxn ang="T53">
                <a:pos x="T22" y="T23"/>
              </a:cxn>
              <a:cxn ang="T54">
                <a:pos x="T24" y="T25"/>
              </a:cxn>
              <a:cxn ang="T55">
                <a:pos x="T26" y="T27"/>
              </a:cxn>
              <a:cxn ang="T56">
                <a:pos x="T28" y="T29"/>
              </a:cxn>
              <a:cxn ang="T57">
                <a:pos x="T30" y="T31"/>
              </a:cxn>
              <a:cxn ang="T58">
                <a:pos x="T32" y="T33"/>
              </a:cxn>
              <a:cxn ang="T59">
                <a:pos x="T34" y="T35"/>
              </a:cxn>
              <a:cxn ang="T60">
                <a:pos x="T36" y="T37"/>
              </a:cxn>
              <a:cxn ang="T61">
                <a:pos x="T38" y="T39"/>
              </a:cxn>
              <a:cxn ang="T62">
                <a:pos x="T40" y="T41"/>
              </a:cxn>
            </a:cxnLst>
            <a:rect l="T63" t="T64" r="T65" b="T66"/>
            <a:pathLst>
              <a:path w="270" h="457">
                <a:moveTo>
                  <a:pt x="182" y="457"/>
                </a:moveTo>
                <a:lnTo>
                  <a:pt x="182" y="392"/>
                </a:lnTo>
                <a:lnTo>
                  <a:pt x="247" y="392"/>
                </a:lnTo>
                <a:lnTo>
                  <a:pt x="248" y="300"/>
                </a:lnTo>
                <a:lnTo>
                  <a:pt x="254" y="256"/>
                </a:lnTo>
                <a:lnTo>
                  <a:pt x="270" y="256"/>
                </a:lnTo>
                <a:lnTo>
                  <a:pt x="268" y="238"/>
                </a:lnTo>
                <a:lnTo>
                  <a:pt x="242" y="240"/>
                </a:lnTo>
                <a:lnTo>
                  <a:pt x="242" y="224"/>
                </a:lnTo>
                <a:lnTo>
                  <a:pt x="250" y="208"/>
                </a:lnTo>
                <a:lnTo>
                  <a:pt x="254" y="130"/>
                </a:lnTo>
                <a:lnTo>
                  <a:pt x="212" y="128"/>
                </a:lnTo>
                <a:lnTo>
                  <a:pt x="214" y="74"/>
                </a:lnTo>
                <a:lnTo>
                  <a:pt x="172" y="74"/>
                </a:lnTo>
                <a:lnTo>
                  <a:pt x="170" y="60"/>
                </a:lnTo>
                <a:lnTo>
                  <a:pt x="116" y="62"/>
                </a:lnTo>
                <a:lnTo>
                  <a:pt x="116" y="50"/>
                </a:lnTo>
                <a:lnTo>
                  <a:pt x="82" y="50"/>
                </a:lnTo>
                <a:lnTo>
                  <a:pt x="78" y="0"/>
                </a:lnTo>
                <a:lnTo>
                  <a:pt x="0" y="0"/>
                </a:lnTo>
                <a:lnTo>
                  <a:pt x="0" y="76"/>
                </a:lnTo>
              </a:path>
            </a:pathLst>
          </a:custGeom>
          <a:noFill/>
          <a:ln w="9525" cap="flat" cmpd="sng">
            <a:solidFill>
              <a:srgbClr val="333399"/>
            </a:solidFill>
            <a:prstDash val="sysDot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1166" name="Freeform 1990">
            <a:extLst>
              <a:ext uri="{FF2B5EF4-FFF2-40B4-BE49-F238E27FC236}">
                <a16:creationId xmlns:a16="http://schemas.microsoft.com/office/drawing/2014/main" id="{00000000-0008-0000-0800-0000CE110300}"/>
              </a:ext>
            </a:extLst>
          </xdr:cNvPr>
          <xdr:cNvSpPr>
            <a:spLocks/>
          </xdr:cNvSpPr>
        </xdr:nvSpPr>
        <xdr:spPr bwMode="auto">
          <a:xfrm>
            <a:off x="2807" y="3976"/>
            <a:ext cx="707" cy="55"/>
          </a:xfrm>
          <a:custGeom>
            <a:avLst/>
            <a:gdLst>
              <a:gd name="T0" fmla="*/ 0 w 707"/>
              <a:gd name="T1" fmla="*/ 55 h 55"/>
              <a:gd name="T2" fmla="*/ 261 w 707"/>
              <a:gd name="T3" fmla="*/ 55 h 55"/>
              <a:gd name="T4" fmla="*/ 261 w 707"/>
              <a:gd name="T5" fmla="*/ 27 h 55"/>
              <a:gd name="T6" fmla="*/ 332 w 707"/>
              <a:gd name="T7" fmla="*/ 27 h 55"/>
              <a:gd name="T8" fmla="*/ 368 w 707"/>
              <a:gd name="T9" fmla="*/ 0 h 55"/>
              <a:gd name="T10" fmla="*/ 707 w 707"/>
              <a:gd name="T11" fmla="*/ 4 h 55"/>
              <a:gd name="T12" fmla="*/ 0 60000 65536"/>
              <a:gd name="T13" fmla="*/ 0 60000 65536"/>
              <a:gd name="T14" fmla="*/ 0 60000 65536"/>
              <a:gd name="T15" fmla="*/ 0 60000 65536"/>
              <a:gd name="T16" fmla="*/ 0 60000 65536"/>
              <a:gd name="T17" fmla="*/ 0 60000 65536"/>
              <a:gd name="T18" fmla="*/ 0 w 707"/>
              <a:gd name="T19" fmla="*/ 0 h 55"/>
              <a:gd name="T20" fmla="*/ 707 w 707"/>
              <a:gd name="T21" fmla="*/ 55 h 55"/>
            </a:gdLst>
            <a:ahLst/>
            <a:cxnLst>
              <a:cxn ang="T12">
                <a:pos x="T0" y="T1"/>
              </a:cxn>
              <a:cxn ang="T13">
                <a:pos x="T2" y="T3"/>
              </a:cxn>
              <a:cxn ang="T14">
                <a:pos x="T4" y="T5"/>
              </a:cxn>
              <a:cxn ang="T15">
                <a:pos x="T6" y="T7"/>
              </a:cxn>
              <a:cxn ang="T16">
                <a:pos x="T8" y="T9"/>
              </a:cxn>
              <a:cxn ang="T17">
                <a:pos x="T10" y="T11"/>
              </a:cxn>
            </a:cxnLst>
            <a:rect l="T18" t="T19" r="T20" b="T21"/>
            <a:pathLst>
              <a:path w="707" h="55">
                <a:moveTo>
                  <a:pt x="0" y="55"/>
                </a:moveTo>
                <a:lnTo>
                  <a:pt x="261" y="55"/>
                </a:lnTo>
                <a:lnTo>
                  <a:pt x="261" y="27"/>
                </a:lnTo>
                <a:lnTo>
                  <a:pt x="332" y="27"/>
                </a:lnTo>
                <a:lnTo>
                  <a:pt x="368" y="0"/>
                </a:lnTo>
                <a:lnTo>
                  <a:pt x="707" y="4"/>
                </a:lnTo>
              </a:path>
            </a:pathLst>
          </a:custGeom>
          <a:noFill/>
          <a:ln w="9525" cap="flat" cmpd="sng">
            <a:solidFill>
              <a:srgbClr val="333399"/>
            </a:solidFill>
            <a:prstDash val="sysDot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1167" name="Freeform 1991">
            <a:extLst>
              <a:ext uri="{FF2B5EF4-FFF2-40B4-BE49-F238E27FC236}">
                <a16:creationId xmlns:a16="http://schemas.microsoft.com/office/drawing/2014/main" id="{00000000-0008-0000-0800-0000CF110300}"/>
              </a:ext>
            </a:extLst>
          </xdr:cNvPr>
          <xdr:cNvSpPr>
            <a:spLocks/>
          </xdr:cNvSpPr>
        </xdr:nvSpPr>
        <xdr:spPr bwMode="auto">
          <a:xfrm>
            <a:off x="2802" y="4118"/>
            <a:ext cx="713" cy="18"/>
          </a:xfrm>
          <a:custGeom>
            <a:avLst/>
            <a:gdLst>
              <a:gd name="T0" fmla="*/ 0 w 713"/>
              <a:gd name="T1" fmla="*/ 15 h 18"/>
              <a:gd name="T2" fmla="*/ 333 w 713"/>
              <a:gd name="T3" fmla="*/ 15 h 18"/>
              <a:gd name="T4" fmla="*/ 332 w 713"/>
              <a:gd name="T5" fmla="*/ 0 h 18"/>
              <a:gd name="T6" fmla="*/ 362 w 713"/>
              <a:gd name="T7" fmla="*/ 2 h 18"/>
              <a:gd name="T8" fmla="*/ 374 w 713"/>
              <a:gd name="T9" fmla="*/ 18 h 18"/>
              <a:gd name="T10" fmla="*/ 492 w 713"/>
              <a:gd name="T11" fmla="*/ 18 h 18"/>
              <a:gd name="T12" fmla="*/ 713 w 713"/>
              <a:gd name="T13" fmla="*/ 18 h 18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713"/>
              <a:gd name="T22" fmla="*/ 0 h 18"/>
              <a:gd name="T23" fmla="*/ 713 w 713"/>
              <a:gd name="T24" fmla="*/ 18 h 18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713" h="18">
                <a:moveTo>
                  <a:pt x="0" y="15"/>
                </a:moveTo>
                <a:lnTo>
                  <a:pt x="333" y="15"/>
                </a:lnTo>
                <a:lnTo>
                  <a:pt x="332" y="0"/>
                </a:lnTo>
                <a:lnTo>
                  <a:pt x="362" y="2"/>
                </a:lnTo>
                <a:lnTo>
                  <a:pt x="374" y="18"/>
                </a:lnTo>
                <a:lnTo>
                  <a:pt x="492" y="18"/>
                </a:lnTo>
                <a:lnTo>
                  <a:pt x="713" y="18"/>
                </a:lnTo>
              </a:path>
            </a:pathLst>
          </a:custGeom>
          <a:noFill/>
          <a:ln w="9525" cap="flat" cmpd="sng">
            <a:solidFill>
              <a:srgbClr val="333399"/>
            </a:solidFill>
            <a:prstDash val="sysDot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1168" name="Freeform 1992">
            <a:extLst>
              <a:ext uri="{FF2B5EF4-FFF2-40B4-BE49-F238E27FC236}">
                <a16:creationId xmlns:a16="http://schemas.microsoft.com/office/drawing/2014/main" id="{00000000-0008-0000-0800-0000D0110300}"/>
              </a:ext>
            </a:extLst>
          </xdr:cNvPr>
          <xdr:cNvSpPr>
            <a:spLocks/>
          </xdr:cNvSpPr>
        </xdr:nvSpPr>
        <xdr:spPr bwMode="auto">
          <a:xfrm>
            <a:off x="2802" y="4131"/>
            <a:ext cx="38" cy="185"/>
          </a:xfrm>
          <a:custGeom>
            <a:avLst/>
            <a:gdLst>
              <a:gd name="T0" fmla="*/ 38 w 38"/>
              <a:gd name="T1" fmla="*/ 183 h 185"/>
              <a:gd name="T2" fmla="*/ 0 w 38"/>
              <a:gd name="T3" fmla="*/ 185 h 185"/>
              <a:gd name="T4" fmla="*/ 2 w 38"/>
              <a:gd name="T5" fmla="*/ 0 h 185"/>
              <a:gd name="T6" fmla="*/ 0 60000 65536"/>
              <a:gd name="T7" fmla="*/ 0 60000 65536"/>
              <a:gd name="T8" fmla="*/ 0 60000 65536"/>
              <a:gd name="T9" fmla="*/ 0 w 38"/>
              <a:gd name="T10" fmla="*/ 0 h 185"/>
              <a:gd name="T11" fmla="*/ 38 w 38"/>
              <a:gd name="T12" fmla="*/ 185 h 185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38" h="185">
                <a:moveTo>
                  <a:pt x="38" y="183"/>
                </a:moveTo>
                <a:lnTo>
                  <a:pt x="0" y="185"/>
                </a:lnTo>
                <a:lnTo>
                  <a:pt x="2" y="0"/>
                </a:lnTo>
              </a:path>
            </a:pathLst>
          </a:custGeom>
          <a:noFill/>
          <a:ln w="9525" cap="flat" cmpd="sng">
            <a:solidFill>
              <a:srgbClr val="333399"/>
            </a:solidFill>
            <a:prstDash val="sysDot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1169" name="Freeform 1993">
            <a:extLst>
              <a:ext uri="{FF2B5EF4-FFF2-40B4-BE49-F238E27FC236}">
                <a16:creationId xmlns:a16="http://schemas.microsoft.com/office/drawing/2014/main" id="{00000000-0008-0000-0800-0000D1110300}"/>
              </a:ext>
            </a:extLst>
          </xdr:cNvPr>
          <xdr:cNvSpPr>
            <a:spLocks/>
          </xdr:cNvSpPr>
        </xdr:nvSpPr>
        <xdr:spPr bwMode="auto">
          <a:xfrm>
            <a:off x="2802" y="4218"/>
            <a:ext cx="710" cy="2"/>
          </a:xfrm>
          <a:custGeom>
            <a:avLst/>
            <a:gdLst>
              <a:gd name="T0" fmla="*/ 0 w 710"/>
              <a:gd name="T1" fmla="*/ 0 h 2"/>
              <a:gd name="T2" fmla="*/ 710 w 710"/>
              <a:gd name="T3" fmla="*/ 2 h 2"/>
              <a:gd name="T4" fmla="*/ 0 60000 65536"/>
              <a:gd name="T5" fmla="*/ 0 60000 65536"/>
              <a:gd name="T6" fmla="*/ 0 w 710"/>
              <a:gd name="T7" fmla="*/ 0 h 2"/>
              <a:gd name="T8" fmla="*/ 710 w 710"/>
              <a:gd name="T9" fmla="*/ 2 h 2"/>
            </a:gdLst>
            <a:ahLst/>
            <a:cxnLst>
              <a:cxn ang="T4">
                <a:pos x="T0" y="T1"/>
              </a:cxn>
              <a:cxn ang="T5">
                <a:pos x="T2" y="T3"/>
              </a:cxn>
            </a:cxnLst>
            <a:rect l="T6" t="T7" r="T8" b="T9"/>
            <a:pathLst>
              <a:path w="710" h="2">
                <a:moveTo>
                  <a:pt x="0" y="0"/>
                </a:moveTo>
                <a:lnTo>
                  <a:pt x="710" y="2"/>
                </a:lnTo>
              </a:path>
            </a:pathLst>
          </a:custGeom>
          <a:noFill/>
          <a:ln w="9525" cap="flat" cmpd="sng">
            <a:solidFill>
              <a:srgbClr val="333399"/>
            </a:solidFill>
            <a:prstDash val="sysDot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1170" name="Freeform 1994">
            <a:extLst>
              <a:ext uri="{FF2B5EF4-FFF2-40B4-BE49-F238E27FC236}">
                <a16:creationId xmlns:a16="http://schemas.microsoft.com/office/drawing/2014/main" id="{00000000-0008-0000-0800-0000D2110300}"/>
              </a:ext>
            </a:extLst>
          </xdr:cNvPr>
          <xdr:cNvSpPr>
            <a:spLocks/>
          </xdr:cNvSpPr>
        </xdr:nvSpPr>
        <xdr:spPr bwMode="auto">
          <a:xfrm>
            <a:off x="3518" y="4108"/>
            <a:ext cx="442" cy="56"/>
          </a:xfrm>
          <a:custGeom>
            <a:avLst/>
            <a:gdLst>
              <a:gd name="T0" fmla="*/ 0 w 442"/>
              <a:gd name="T1" fmla="*/ 56 h 56"/>
              <a:gd name="T2" fmla="*/ 310 w 442"/>
              <a:gd name="T3" fmla="*/ 56 h 56"/>
              <a:gd name="T4" fmla="*/ 312 w 442"/>
              <a:gd name="T5" fmla="*/ 0 h 56"/>
              <a:gd name="T6" fmla="*/ 442 w 442"/>
              <a:gd name="T7" fmla="*/ 0 h 56"/>
              <a:gd name="T8" fmla="*/ 0 60000 65536"/>
              <a:gd name="T9" fmla="*/ 0 60000 65536"/>
              <a:gd name="T10" fmla="*/ 0 60000 65536"/>
              <a:gd name="T11" fmla="*/ 0 60000 65536"/>
              <a:gd name="T12" fmla="*/ 0 w 442"/>
              <a:gd name="T13" fmla="*/ 0 h 56"/>
              <a:gd name="T14" fmla="*/ 442 w 442"/>
              <a:gd name="T15" fmla="*/ 56 h 56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442" h="56">
                <a:moveTo>
                  <a:pt x="0" y="56"/>
                </a:moveTo>
                <a:lnTo>
                  <a:pt x="310" y="56"/>
                </a:lnTo>
                <a:lnTo>
                  <a:pt x="312" y="0"/>
                </a:lnTo>
                <a:lnTo>
                  <a:pt x="442" y="0"/>
                </a:lnTo>
              </a:path>
            </a:pathLst>
          </a:custGeom>
          <a:noFill/>
          <a:ln w="9525" cap="flat" cmpd="sng">
            <a:solidFill>
              <a:srgbClr val="333399"/>
            </a:solidFill>
            <a:prstDash val="sysDot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1171" name="Freeform 1995">
            <a:extLst>
              <a:ext uri="{FF2B5EF4-FFF2-40B4-BE49-F238E27FC236}">
                <a16:creationId xmlns:a16="http://schemas.microsoft.com/office/drawing/2014/main" id="{00000000-0008-0000-0800-0000D3110300}"/>
              </a:ext>
            </a:extLst>
          </xdr:cNvPr>
          <xdr:cNvSpPr>
            <a:spLocks/>
          </xdr:cNvSpPr>
        </xdr:nvSpPr>
        <xdr:spPr bwMode="auto">
          <a:xfrm>
            <a:off x="3485" y="4418"/>
            <a:ext cx="475" cy="78"/>
          </a:xfrm>
          <a:custGeom>
            <a:avLst/>
            <a:gdLst>
              <a:gd name="T0" fmla="*/ 0 w 475"/>
              <a:gd name="T1" fmla="*/ 78 h 78"/>
              <a:gd name="T2" fmla="*/ 315 w 475"/>
              <a:gd name="T3" fmla="*/ 78 h 78"/>
              <a:gd name="T4" fmla="*/ 315 w 475"/>
              <a:gd name="T5" fmla="*/ 0 h 78"/>
              <a:gd name="T6" fmla="*/ 475 w 475"/>
              <a:gd name="T7" fmla="*/ 0 h 78"/>
              <a:gd name="T8" fmla="*/ 0 60000 65536"/>
              <a:gd name="T9" fmla="*/ 0 60000 65536"/>
              <a:gd name="T10" fmla="*/ 0 60000 65536"/>
              <a:gd name="T11" fmla="*/ 0 60000 65536"/>
              <a:gd name="T12" fmla="*/ 0 w 475"/>
              <a:gd name="T13" fmla="*/ 0 h 78"/>
              <a:gd name="T14" fmla="*/ 475 w 475"/>
              <a:gd name="T15" fmla="*/ 78 h 78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475" h="78">
                <a:moveTo>
                  <a:pt x="0" y="78"/>
                </a:moveTo>
                <a:lnTo>
                  <a:pt x="315" y="78"/>
                </a:lnTo>
                <a:lnTo>
                  <a:pt x="315" y="0"/>
                </a:lnTo>
                <a:lnTo>
                  <a:pt x="475" y="0"/>
                </a:lnTo>
              </a:path>
            </a:pathLst>
          </a:custGeom>
          <a:noFill/>
          <a:ln w="9525" cap="flat" cmpd="sng">
            <a:solidFill>
              <a:srgbClr val="333399"/>
            </a:solidFill>
            <a:prstDash val="sysDot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1172" name="Freeform 1996">
            <a:extLst>
              <a:ext uri="{FF2B5EF4-FFF2-40B4-BE49-F238E27FC236}">
                <a16:creationId xmlns:a16="http://schemas.microsoft.com/office/drawing/2014/main" id="{00000000-0008-0000-0800-0000D4110300}"/>
              </a:ext>
            </a:extLst>
          </xdr:cNvPr>
          <xdr:cNvSpPr>
            <a:spLocks/>
          </xdr:cNvSpPr>
        </xdr:nvSpPr>
        <xdr:spPr bwMode="auto">
          <a:xfrm>
            <a:off x="3549" y="4700"/>
            <a:ext cx="407" cy="1"/>
          </a:xfrm>
          <a:custGeom>
            <a:avLst/>
            <a:gdLst>
              <a:gd name="T0" fmla="*/ 0 w 407"/>
              <a:gd name="T1" fmla="*/ 0 h 1"/>
              <a:gd name="T2" fmla="*/ 407 w 407"/>
              <a:gd name="T3" fmla="*/ 0 h 1"/>
              <a:gd name="T4" fmla="*/ 0 60000 65536"/>
              <a:gd name="T5" fmla="*/ 0 60000 65536"/>
              <a:gd name="T6" fmla="*/ 0 w 407"/>
              <a:gd name="T7" fmla="*/ 0 h 1"/>
              <a:gd name="T8" fmla="*/ 407 w 407"/>
              <a:gd name="T9" fmla="*/ 1 h 1"/>
            </a:gdLst>
            <a:ahLst/>
            <a:cxnLst>
              <a:cxn ang="T4">
                <a:pos x="T0" y="T1"/>
              </a:cxn>
              <a:cxn ang="T5">
                <a:pos x="T2" y="T3"/>
              </a:cxn>
            </a:cxnLst>
            <a:rect l="T6" t="T7" r="T8" b="T9"/>
            <a:pathLst>
              <a:path w="407" h="1">
                <a:moveTo>
                  <a:pt x="0" y="0"/>
                </a:moveTo>
                <a:lnTo>
                  <a:pt x="407" y="0"/>
                </a:lnTo>
              </a:path>
            </a:pathLst>
          </a:custGeom>
          <a:noFill/>
          <a:ln w="9525" cap="flat" cmpd="sng">
            <a:solidFill>
              <a:srgbClr val="333399"/>
            </a:solidFill>
            <a:prstDash val="sysDot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1173" name="Freeform 1997">
            <a:extLst>
              <a:ext uri="{FF2B5EF4-FFF2-40B4-BE49-F238E27FC236}">
                <a16:creationId xmlns:a16="http://schemas.microsoft.com/office/drawing/2014/main" id="{00000000-0008-0000-0800-0000D5110300}"/>
              </a:ext>
            </a:extLst>
          </xdr:cNvPr>
          <xdr:cNvSpPr>
            <a:spLocks/>
          </xdr:cNvSpPr>
        </xdr:nvSpPr>
        <xdr:spPr bwMode="auto">
          <a:xfrm>
            <a:off x="3546" y="4910"/>
            <a:ext cx="410" cy="1"/>
          </a:xfrm>
          <a:custGeom>
            <a:avLst/>
            <a:gdLst>
              <a:gd name="T0" fmla="*/ 0 w 410"/>
              <a:gd name="T1" fmla="*/ 1 h 1"/>
              <a:gd name="T2" fmla="*/ 407 w 410"/>
              <a:gd name="T3" fmla="*/ 0 h 1"/>
              <a:gd name="T4" fmla="*/ 410 w 410"/>
              <a:gd name="T5" fmla="*/ 0 h 1"/>
              <a:gd name="T6" fmla="*/ 0 60000 65536"/>
              <a:gd name="T7" fmla="*/ 0 60000 65536"/>
              <a:gd name="T8" fmla="*/ 0 60000 65536"/>
              <a:gd name="T9" fmla="*/ 0 w 410"/>
              <a:gd name="T10" fmla="*/ 0 h 1"/>
              <a:gd name="T11" fmla="*/ 410 w 410"/>
              <a:gd name="T12" fmla="*/ 1 h 1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410" h="1">
                <a:moveTo>
                  <a:pt x="0" y="1"/>
                </a:moveTo>
                <a:lnTo>
                  <a:pt x="407" y="0"/>
                </a:lnTo>
                <a:lnTo>
                  <a:pt x="410" y="0"/>
                </a:lnTo>
              </a:path>
            </a:pathLst>
          </a:custGeom>
          <a:noFill/>
          <a:ln w="9525" cap="flat" cmpd="sng">
            <a:solidFill>
              <a:srgbClr val="333399"/>
            </a:solidFill>
            <a:prstDash val="sysDot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8622" name="Text Box 1998">
            <a:extLst>
              <a:ext uri="{FF2B5EF4-FFF2-40B4-BE49-F238E27FC236}">
                <a16:creationId xmlns:a16="http://schemas.microsoft.com/office/drawing/2014/main" id="{00000000-0008-0000-0800-0000CE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71" y="4059"/>
            <a:ext cx="241" cy="6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7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</a:t>
            </a:r>
            <a:r>
              <a:rPr lang="en-US" sz="6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Dexter</a:t>
            </a: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623" name="Text Box 1999">
            <a:extLst>
              <a:ext uri="{FF2B5EF4-FFF2-40B4-BE49-F238E27FC236}">
                <a16:creationId xmlns:a16="http://schemas.microsoft.com/office/drawing/2014/main" id="{00000000-0008-0000-0800-0000CF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018" y="4213"/>
            <a:ext cx="94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20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624" name="Text Box 2000">
            <a:extLst>
              <a:ext uri="{FF2B5EF4-FFF2-40B4-BE49-F238E27FC236}">
                <a16:creationId xmlns:a16="http://schemas.microsoft.com/office/drawing/2014/main" id="{00000000-0008-0000-0800-0000D0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59" y="4142"/>
            <a:ext cx="289" cy="6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7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Hagerman</a:t>
            </a: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625" name="Text Box 2001">
            <a:extLst>
              <a:ext uri="{FF2B5EF4-FFF2-40B4-BE49-F238E27FC236}">
                <a16:creationId xmlns:a16="http://schemas.microsoft.com/office/drawing/2014/main" id="{00000000-0008-0000-0800-0000D1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59" y="4219"/>
            <a:ext cx="336" cy="7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7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Lake Arthur</a:t>
            </a: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626" name="Text Box 2002">
            <a:extLst>
              <a:ext uri="{FF2B5EF4-FFF2-40B4-BE49-F238E27FC236}">
                <a16:creationId xmlns:a16="http://schemas.microsoft.com/office/drawing/2014/main" id="{00000000-0008-0000-0800-0000D2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024" y="4142"/>
            <a:ext cx="94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6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627" name="Text Box 2003">
            <a:extLst>
              <a:ext uri="{FF2B5EF4-FFF2-40B4-BE49-F238E27FC236}">
                <a16:creationId xmlns:a16="http://schemas.microsoft.com/office/drawing/2014/main" id="{00000000-0008-0000-0800-0000D3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030" y="4059"/>
            <a:ext cx="94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8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628" name="Text Box 2004">
            <a:extLst>
              <a:ext uri="{FF2B5EF4-FFF2-40B4-BE49-F238E27FC236}">
                <a16:creationId xmlns:a16="http://schemas.microsoft.com/office/drawing/2014/main" id="{00000000-0008-0000-0800-0000D4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648" y="3792"/>
            <a:ext cx="94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28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629" name="Text Box 2005">
            <a:extLst>
              <a:ext uri="{FF2B5EF4-FFF2-40B4-BE49-F238E27FC236}">
                <a16:creationId xmlns:a16="http://schemas.microsoft.com/office/drawing/2014/main" id="{00000000-0008-0000-0800-0000D5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648" y="3934"/>
            <a:ext cx="241" cy="7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7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</a:t>
            </a:r>
            <a:r>
              <a:rPr lang="en-US" sz="6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Tatum</a:t>
            </a: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630" name="Text Box 2006">
            <a:extLst>
              <a:ext uri="{FF2B5EF4-FFF2-40B4-BE49-F238E27FC236}">
                <a16:creationId xmlns:a16="http://schemas.microsoft.com/office/drawing/2014/main" id="{00000000-0008-0000-0800-0000D6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642" y="4219"/>
            <a:ext cx="289" cy="6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7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Lovington</a:t>
            </a: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631" name="Text Box 2007">
            <a:extLst>
              <a:ext uri="{FF2B5EF4-FFF2-40B4-BE49-F238E27FC236}">
                <a16:creationId xmlns:a16="http://schemas.microsoft.com/office/drawing/2014/main" id="{00000000-0008-0000-0800-0000D7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689" y="4171"/>
            <a:ext cx="47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1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632" name="Text Box 2008">
            <a:extLst>
              <a:ext uri="{FF2B5EF4-FFF2-40B4-BE49-F238E27FC236}">
                <a16:creationId xmlns:a16="http://schemas.microsoft.com/office/drawing/2014/main" id="{00000000-0008-0000-0800-0000D8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695" y="4563"/>
            <a:ext cx="194" cy="6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7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Hobbs</a:t>
            </a: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633" name="Text Box 2009">
            <a:extLst>
              <a:ext uri="{FF2B5EF4-FFF2-40B4-BE49-F238E27FC236}">
                <a16:creationId xmlns:a16="http://schemas.microsoft.com/office/drawing/2014/main" id="{00000000-0008-0000-0800-0000D9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695" y="4753"/>
            <a:ext cx="194" cy="6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7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Eunice</a:t>
            </a: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634" name="Text Box 2010">
            <a:extLst>
              <a:ext uri="{FF2B5EF4-FFF2-40B4-BE49-F238E27FC236}">
                <a16:creationId xmlns:a16="http://schemas.microsoft.com/office/drawing/2014/main" id="{00000000-0008-0000-0800-0000DA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695" y="4990"/>
            <a:ext cx="194" cy="7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7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Jal</a:t>
            </a: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635" name="Text Box 2011">
            <a:extLst>
              <a:ext uri="{FF2B5EF4-FFF2-40B4-BE49-F238E27FC236}">
                <a16:creationId xmlns:a16="http://schemas.microsoft.com/office/drawing/2014/main" id="{00000000-0008-0000-0800-0000DB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260" y="4859"/>
            <a:ext cx="194" cy="7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7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Loving                          </a:t>
            </a: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636" name="Text Box 2012">
            <a:extLst>
              <a:ext uri="{FF2B5EF4-FFF2-40B4-BE49-F238E27FC236}">
                <a16:creationId xmlns:a16="http://schemas.microsoft.com/office/drawing/2014/main" id="{00000000-0008-0000-0800-0000DC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448" y="4859"/>
            <a:ext cx="100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10        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637" name="Text Box 2013">
            <a:extLst>
              <a:ext uri="{FF2B5EF4-FFF2-40B4-BE49-F238E27FC236}">
                <a16:creationId xmlns:a16="http://schemas.microsoft.com/office/drawing/2014/main" id="{00000000-0008-0000-0800-0000DD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595" y="4818"/>
            <a:ext cx="100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8        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638" name="Text Box 2014">
            <a:extLst>
              <a:ext uri="{FF2B5EF4-FFF2-40B4-BE49-F238E27FC236}">
                <a16:creationId xmlns:a16="http://schemas.microsoft.com/office/drawing/2014/main" id="{00000000-0008-0000-0800-0000DE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601" y="4990"/>
            <a:ext cx="94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19        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639" name="Text Box 2015">
            <a:extLst>
              <a:ext uri="{FF2B5EF4-FFF2-40B4-BE49-F238E27FC236}">
                <a16:creationId xmlns:a16="http://schemas.microsoft.com/office/drawing/2014/main" id="{00000000-0008-0000-0800-0000DF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530" y="4581"/>
            <a:ext cx="94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16        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640" name="Text Box 2016">
            <a:extLst>
              <a:ext uri="{FF2B5EF4-FFF2-40B4-BE49-F238E27FC236}">
                <a16:creationId xmlns:a16="http://schemas.microsoft.com/office/drawing/2014/main" id="{00000000-0008-0000-0800-0000E0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930" y="4895"/>
            <a:ext cx="94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C        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641" name="Text Box 2017">
            <a:extLst>
              <a:ext uri="{FF2B5EF4-FFF2-40B4-BE49-F238E27FC236}">
                <a16:creationId xmlns:a16="http://schemas.microsoft.com/office/drawing/2014/main" id="{00000000-0008-0000-0800-0000E1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859" y="4426"/>
            <a:ext cx="194" cy="7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7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Hope</a:t>
            </a: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642" name="Text Box 2018">
            <a:extLst>
              <a:ext uri="{FF2B5EF4-FFF2-40B4-BE49-F238E27FC236}">
                <a16:creationId xmlns:a16="http://schemas.microsoft.com/office/drawing/2014/main" id="{00000000-0008-0000-0800-0000E2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083" y="4409"/>
            <a:ext cx="194" cy="7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7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Artesia</a:t>
            </a: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643" name="Text Box 2019">
            <a:extLst>
              <a:ext uri="{FF2B5EF4-FFF2-40B4-BE49-F238E27FC236}">
                <a16:creationId xmlns:a16="http://schemas.microsoft.com/office/drawing/2014/main" id="{00000000-0008-0000-0800-0000E3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036" y="4782"/>
            <a:ext cx="277" cy="6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7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Carlsbad</a:t>
            </a: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01196" name="Freeform 2020">
            <a:extLst>
              <a:ext uri="{FF2B5EF4-FFF2-40B4-BE49-F238E27FC236}">
                <a16:creationId xmlns:a16="http://schemas.microsoft.com/office/drawing/2014/main" id="{00000000-0008-0000-0800-0000EC110300}"/>
              </a:ext>
            </a:extLst>
          </xdr:cNvPr>
          <xdr:cNvSpPr>
            <a:spLocks/>
          </xdr:cNvSpPr>
        </xdr:nvSpPr>
        <xdr:spPr bwMode="auto">
          <a:xfrm>
            <a:off x="2240" y="646"/>
            <a:ext cx="306" cy="736"/>
          </a:xfrm>
          <a:custGeom>
            <a:avLst/>
            <a:gdLst>
              <a:gd name="T0" fmla="*/ 102 w 306"/>
              <a:gd name="T1" fmla="*/ 0 h 736"/>
              <a:gd name="T2" fmla="*/ 100 w 306"/>
              <a:gd name="T3" fmla="*/ 46 h 736"/>
              <a:gd name="T4" fmla="*/ 96 w 306"/>
              <a:gd name="T5" fmla="*/ 100 h 736"/>
              <a:gd name="T6" fmla="*/ 106 w 306"/>
              <a:gd name="T7" fmla="*/ 106 h 736"/>
              <a:gd name="T8" fmla="*/ 110 w 306"/>
              <a:gd name="T9" fmla="*/ 122 h 736"/>
              <a:gd name="T10" fmla="*/ 116 w 306"/>
              <a:gd name="T11" fmla="*/ 132 h 736"/>
              <a:gd name="T12" fmla="*/ 114 w 306"/>
              <a:gd name="T13" fmla="*/ 146 h 736"/>
              <a:gd name="T14" fmla="*/ 108 w 306"/>
              <a:gd name="T15" fmla="*/ 172 h 736"/>
              <a:gd name="T16" fmla="*/ 114 w 306"/>
              <a:gd name="T17" fmla="*/ 184 h 736"/>
              <a:gd name="T18" fmla="*/ 116 w 306"/>
              <a:gd name="T19" fmla="*/ 200 h 736"/>
              <a:gd name="T20" fmla="*/ 104 w 306"/>
              <a:gd name="T21" fmla="*/ 228 h 736"/>
              <a:gd name="T22" fmla="*/ 110 w 306"/>
              <a:gd name="T23" fmla="*/ 248 h 736"/>
              <a:gd name="T24" fmla="*/ 116 w 306"/>
              <a:gd name="T25" fmla="*/ 262 h 736"/>
              <a:gd name="T26" fmla="*/ 122 w 306"/>
              <a:gd name="T27" fmla="*/ 278 h 736"/>
              <a:gd name="T28" fmla="*/ 128 w 306"/>
              <a:gd name="T29" fmla="*/ 288 h 736"/>
              <a:gd name="T30" fmla="*/ 130 w 306"/>
              <a:gd name="T31" fmla="*/ 316 h 736"/>
              <a:gd name="T32" fmla="*/ 122 w 306"/>
              <a:gd name="T33" fmla="*/ 326 h 736"/>
              <a:gd name="T34" fmla="*/ 116 w 306"/>
              <a:gd name="T35" fmla="*/ 342 h 736"/>
              <a:gd name="T36" fmla="*/ 110 w 306"/>
              <a:gd name="T37" fmla="*/ 352 h 736"/>
              <a:gd name="T38" fmla="*/ 106 w 306"/>
              <a:gd name="T39" fmla="*/ 384 h 736"/>
              <a:gd name="T40" fmla="*/ 100 w 306"/>
              <a:gd name="T41" fmla="*/ 406 h 736"/>
              <a:gd name="T42" fmla="*/ 84 w 306"/>
              <a:gd name="T43" fmla="*/ 444 h 736"/>
              <a:gd name="T44" fmla="*/ 82 w 306"/>
              <a:gd name="T45" fmla="*/ 468 h 736"/>
              <a:gd name="T46" fmla="*/ 86 w 306"/>
              <a:gd name="T47" fmla="*/ 492 h 736"/>
              <a:gd name="T48" fmla="*/ 88 w 306"/>
              <a:gd name="T49" fmla="*/ 516 h 736"/>
              <a:gd name="T50" fmla="*/ 80 w 306"/>
              <a:gd name="T51" fmla="*/ 530 h 736"/>
              <a:gd name="T52" fmla="*/ 86 w 306"/>
              <a:gd name="T53" fmla="*/ 540 h 736"/>
              <a:gd name="T54" fmla="*/ 85 w 306"/>
              <a:gd name="T55" fmla="*/ 572 h 736"/>
              <a:gd name="T56" fmla="*/ 3 w 306"/>
              <a:gd name="T57" fmla="*/ 569 h 736"/>
              <a:gd name="T58" fmla="*/ 0 w 306"/>
              <a:gd name="T59" fmla="*/ 680 h 736"/>
              <a:gd name="T60" fmla="*/ 22 w 306"/>
              <a:gd name="T61" fmla="*/ 710 h 736"/>
              <a:gd name="T62" fmla="*/ 70 w 306"/>
              <a:gd name="T63" fmla="*/ 712 h 736"/>
              <a:gd name="T64" fmla="*/ 72 w 306"/>
              <a:gd name="T65" fmla="*/ 680 h 736"/>
              <a:gd name="T66" fmla="*/ 134 w 306"/>
              <a:gd name="T67" fmla="*/ 684 h 736"/>
              <a:gd name="T68" fmla="*/ 150 w 306"/>
              <a:gd name="T69" fmla="*/ 690 h 736"/>
              <a:gd name="T70" fmla="*/ 168 w 306"/>
              <a:gd name="T71" fmla="*/ 700 h 736"/>
              <a:gd name="T72" fmla="*/ 170 w 306"/>
              <a:gd name="T73" fmla="*/ 712 h 736"/>
              <a:gd name="T74" fmla="*/ 184 w 306"/>
              <a:gd name="T75" fmla="*/ 718 h 736"/>
              <a:gd name="T76" fmla="*/ 210 w 306"/>
              <a:gd name="T77" fmla="*/ 736 h 736"/>
              <a:gd name="T78" fmla="*/ 224 w 306"/>
              <a:gd name="T79" fmla="*/ 732 h 736"/>
              <a:gd name="T80" fmla="*/ 248 w 306"/>
              <a:gd name="T81" fmla="*/ 708 h 736"/>
              <a:gd name="T82" fmla="*/ 282 w 306"/>
              <a:gd name="T83" fmla="*/ 678 h 736"/>
              <a:gd name="T84" fmla="*/ 298 w 306"/>
              <a:gd name="T85" fmla="*/ 664 h 736"/>
              <a:gd name="T86" fmla="*/ 306 w 306"/>
              <a:gd name="T87" fmla="*/ 648 h 736"/>
              <a:gd name="T88" fmla="*/ 292 w 306"/>
              <a:gd name="T89" fmla="*/ 646 h 736"/>
              <a:gd name="T90" fmla="*/ 284 w 306"/>
              <a:gd name="T91" fmla="*/ 634 h 736"/>
              <a:gd name="T92" fmla="*/ 264 w 306"/>
              <a:gd name="T93" fmla="*/ 630 h 736"/>
              <a:gd name="T94" fmla="*/ 250 w 306"/>
              <a:gd name="T95" fmla="*/ 618 h 736"/>
              <a:gd name="T96" fmla="*/ 248 w 306"/>
              <a:gd name="T97" fmla="*/ 604 h 736"/>
              <a:gd name="T98" fmla="*/ 232 w 306"/>
              <a:gd name="T99" fmla="*/ 592 h 736"/>
              <a:gd name="T100" fmla="*/ 196 w 306"/>
              <a:gd name="T101" fmla="*/ 562 h 736"/>
              <a:gd name="T102" fmla="*/ 182 w 306"/>
              <a:gd name="T103" fmla="*/ 564 h 736"/>
              <a:gd name="T104" fmla="*/ 158 w 306"/>
              <a:gd name="T105" fmla="*/ 538 h 736"/>
              <a:gd name="T106" fmla="*/ 84 w 306"/>
              <a:gd name="T107" fmla="*/ 538 h 7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w 306"/>
              <a:gd name="T163" fmla="*/ 0 h 736"/>
              <a:gd name="T164" fmla="*/ 306 w 306"/>
              <a:gd name="T165" fmla="*/ 736 h 736"/>
            </a:gdLst>
            <a:ahLst/>
            <a:cxnLst>
              <a:cxn ang="T108">
                <a:pos x="T0" y="T1"/>
              </a:cxn>
              <a:cxn ang="T109">
                <a:pos x="T2" y="T3"/>
              </a:cxn>
              <a:cxn ang="T110">
                <a:pos x="T4" y="T5"/>
              </a:cxn>
              <a:cxn ang="T111">
                <a:pos x="T6" y="T7"/>
              </a:cxn>
              <a:cxn ang="T112">
                <a:pos x="T8" y="T9"/>
              </a:cxn>
              <a:cxn ang="T113">
                <a:pos x="T10" y="T11"/>
              </a:cxn>
              <a:cxn ang="T114">
                <a:pos x="T12" y="T13"/>
              </a:cxn>
              <a:cxn ang="T115">
                <a:pos x="T14" y="T15"/>
              </a:cxn>
              <a:cxn ang="T116">
                <a:pos x="T16" y="T17"/>
              </a:cxn>
              <a:cxn ang="T117">
                <a:pos x="T18" y="T19"/>
              </a:cxn>
              <a:cxn ang="T118">
                <a:pos x="T20" y="T21"/>
              </a:cxn>
              <a:cxn ang="T119">
                <a:pos x="T22" y="T23"/>
              </a:cxn>
              <a:cxn ang="T120">
                <a:pos x="T24" y="T25"/>
              </a:cxn>
              <a:cxn ang="T121">
                <a:pos x="T26" y="T27"/>
              </a:cxn>
              <a:cxn ang="T122">
                <a:pos x="T28" y="T29"/>
              </a:cxn>
              <a:cxn ang="T123">
                <a:pos x="T30" y="T31"/>
              </a:cxn>
              <a:cxn ang="T124">
                <a:pos x="T32" y="T33"/>
              </a:cxn>
              <a:cxn ang="T125">
                <a:pos x="T34" y="T35"/>
              </a:cxn>
              <a:cxn ang="T126">
                <a:pos x="T36" y="T37"/>
              </a:cxn>
              <a:cxn ang="T127">
                <a:pos x="T38" y="T39"/>
              </a:cxn>
              <a:cxn ang="T128">
                <a:pos x="T40" y="T41"/>
              </a:cxn>
              <a:cxn ang="T129">
                <a:pos x="T42" y="T43"/>
              </a:cxn>
              <a:cxn ang="T130">
                <a:pos x="T44" y="T45"/>
              </a:cxn>
              <a:cxn ang="T131">
                <a:pos x="T46" y="T47"/>
              </a:cxn>
              <a:cxn ang="T132">
                <a:pos x="T48" y="T49"/>
              </a:cxn>
              <a:cxn ang="T133">
                <a:pos x="T50" y="T51"/>
              </a:cxn>
              <a:cxn ang="T134">
                <a:pos x="T52" y="T53"/>
              </a:cxn>
              <a:cxn ang="T135">
                <a:pos x="T54" y="T55"/>
              </a:cxn>
              <a:cxn ang="T136">
                <a:pos x="T56" y="T57"/>
              </a:cxn>
              <a:cxn ang="T137">
                <a:pos x="T58" y="T59"/>
              </a:cxn>
              <a:cxn ang="T138">
                <a:pos x="T60" y="T61"/>
              </a:cxn>
              <a:cxn ang="T139">
                <a:pos x="T62" y="T63"/>
              </a:cxn>
              <a:cxn ang="T140">
                <a:pos x="T64" y="T65"/>
              </a:cxn>
              <a:cxn ang="T141">
                <a:pos x="T66" y="T67"/>
              </a:cxn>
              <a:cxn ang="T142">
                <a:pos x="T68" y="T69"/>
              </a:cxn>
              <a:cxn ang="T143">
                <a:pos x="T70" y="T71"/>
              </a:cxn>
              <a:cxn ang="T144">
                <a:pos x="T72" y="T73"/>
              </a:cxn>
              <a:cxn ang="T145">
                <a:pos x="T74" y="T75"/>
              </a:cxn>
              <a:cxn ang="T146">
                <a:pos x="T76" y="T77"/>
              </a:cxn>
              <a:cxn ang="T147">
                <a:pos x="T78" y="T79"/>
              </a:cxn>
              <a:cxn ang="T148">
                <a:pos x="T80" y="T81"/>
              </a:cxn>
              <a:cxn ang="T149">
                <a:pos x="T82" y="T83"/>
              </a:cxn>
              <a:cxn ang="T150">
                <a:pos x="T84" y="T85"/>
              </a:cxn>
              <a:cxn ang="T151">
                <a:pos x="T86" y="T87"/>
              </a:cxn>
              <a:cxn ang="T152">
                <a:pos x="T88" y="T89"/>
              </a:cxn>
              <a:cxn ang="T153">
                <a:pos x="T90" y="T91"/>
              </a:cxn>
              <a:cxn ang="T154">
                <a:pos x="T92" y="T93"/>
              </a:cxn>
              <a:cxn ang="T155">
                <a:pos x="T94" y="T95"/>
              </a:cxn>
              <a:cxn ang="T156">
                <a:pos x="T96" y="T97"/>
              </a:cxn>
              <a:cxn ang="T157">
                <a:pos x="T98" y="T99"/>
              </a:cxn>
              <a:cxn ang="T158">
                <a:pos x="T100" y="T101"/>
              </a:cxn>
              <a:cxn ang="T159">
                <a:pos x="T102" y="T103"/>
              </a:cxn>
              <a:cxn ang="T160">
                <a:pos x="T104" y="T105"/>
              </a:cxn>
              <a:cxn ang="T161">
                <a:pos x="T106" y="T107"/>
              </a:cxn>
            </a:cxnLst>
            <a:rect l="T162" t="T163" r="T164" b="T165"/>
            <a:pathLst>
              <a:path w="306" h="736">
                <a:moveTo>
                  <a:pt x="102" y="0"/>
                </a:moveTo>
                <a:lnTo>
                  <a:pt x="100" y="46"/>
                </a:lnTo>
                <a:lnTo>
                  <a:pt x="96" y="100"/>
                </a:lnTo>
                <a:lnTo>
                  <a:pt x="106" y="106"/>
                </a:lnTo>
                <a:lnTo>
                  <a:pt x="110" y="122"/>
                </a:lnTo>
                <a:lnTo>
                  <a:pt x="116" y="132"/>
                </a:lnTo>
                <a:lnTo>
                  <a:pt x="114" y="146"/>
                </a:lnTo>
                <a:lnTo>
                  <a:pt x="108" y="172"/>
                </a:lnTo>
                <a:lnTo>
                  <a:pt x="114" y="184"/>
                </a:lnTo>
                <a:lnTo>
                  <a:pt x="116" y="200"/>
                </a:lnTo>
                <a:lnTo>
                  <a:pt x="104" y="228"/>
                </a:lnTo>
                <a:lnTo>
                  <a:pt x="110" y="248"/>
                </a:lnTo>
                <a:lnTo>
                  <a:pt x="116" y="262"/>
                </a:lnTo>
                <a:lnTo>
                  <a:pt x="122" y="278"/>
                </a:lnTo>
                <a:lnTo>
                  <a:pt x="128" y="288"/>
                </a:lnTo>
                <a:lnTo>
                  <a:pt x="130" y="316"/>
                </a:lnTo>
                <a:lnTo>
                  <a:pt x="122" y="326"/>
                </a:lnTo>
                <a:lnTo>
                  <a:pt x="116" y="342"/>
                </a:lnTo>
                <a:lnTo>
                  <a:pt x="110" y="352"/>
                </a:lnTo>
                <a:lnTo>
                  <a:pt x="106" y="384"/>
                </a:lnTo>
                <a:lnTo>
                  <a:pt x="100" y="406"/>
                </a:lnTo>
                <a:lnTo>
                  <a:pt x="84" y="444"/>
                </a:lnTo>
                <a:lnTo>
                  <a:pt x="82" y="468"/>
                </a:lnTo>
                <a:lnTo>
                  <a:pt x="86" y="492"/>
                </a:lnTo>
                <a:lnTo>
                  <a:pt x="88" y="516"/>
                </a:lnTo>
                <a:lnTo>
                  <a:pt x="80" y="530"/>
                </a:lnTo>
                <a:lnTo>
                  <a:pt x="86" y="540"/>
                </a:lnTo>
                <a:lnTo>
                  <a:pt x="85" y="572"/>
                </a:lnTo>
                <a:lnTo>
                  <a:pt x="3" y="569"/>
                </a:lnTo>
                <a:lnTo>
                  <a:pt x="0" y="680"/>
                </a:lnTo>
                <a:lnTo>
                  <a:pt x="22" y="710"/>
                </a:lnTo>
                <a:lnTo>
                  <a:pt x="70" y="712"/>
                </a:lnTo>
                <a:lnTo>
                  <a:pt x="72" y="680"/>
                </a:lnTo>
                <a:lnTo>
                  <a:pt x="134" y="684"/>
                </a:lnTo>
                <a:lnTo>
                  <a:pt x="150" y="690"/>
                </a:lnTo>
                <a:lnTo>
                  <a:pt x="168" y="700"/>
                </a:lnTo>
                <a:lnTo>
                  <a:pt x="170" y="712"/>
                </a:lnTo>
                <a:lnTo>
                  <a:pt x="184" y="718"/>
                </a:lnTo>
                <a:lnTo>
                  <a:pt x="210" y="736"/>
                </a:lnTo>
                <a:lnTo>
                  <a:pt x="224" y="732"/>
                </a:lnTo>
                <a:lnTo>
                  <a:pt x="248" y="708"/>
                </a:lnTo>
                <a:lnTo>
                  <a:pt x="282" y="678"/>
                </a:lnTo>
                <a:lnTo>
                  <a:pt x="298" y="664"/>
                </a:lnTo>
                <a:lnTo>
                  <a:pt x="306" y="648"/>
                </a:lnTo>
                <a:lnTo>
                  <a:pt x="292" y="646"/>
                </a:lnTo>
                <a:lnTo>
                  <a:pt x="284" y="634"/>
                </a:lnTo>
                <a:lnTo>
                  <a:pt x="264" y="630"/>
                </a:lnTo>
                <a:lnTo>
                  <a:pt x="250" y="618"/>
                </a:lnTo>
                <a:lnTo>
                  <a:pt x="248" y="604"/>
                </a:lnTo>
                <a:lnTo>
                  <a:pt x="232" y="592"/>
                </a:lnTo>
                <a:lnTo>
                  <a:pt x="196" y="562"/>
                </a:lnTo>
                <a:lnTo>
                  <a:pt x="182" y="564"/>
                </a:lnTo>
                <a:lnTo>
                  <a:pt x="158" y="538"/>
                </a:lnTo>
                <a:lnTo>
                  <a:pt x="84" y="538"/>
                </a:lnTo>
              </a:path>
            </a:pathLst>
          </a:custGeom>
          <a:noFill/>
          <a:ln w="9525" cap="flat" cmpd="sng">
            <a:solidFill>
              <a:srgbClr val="333399"/>
            </a:solidFill>
            <a:prstDash val="sysDot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1197" name="Freeform 2021">
            <a:extLst>
              <a:ext uri="{FF2B5EF4-FFF2-40B4-BE49-F238E27FC236}">
                <a16:creationId xmlns:a16="http://schemas.microsoft.com/office/drawing/2014/main" id="{00000000-0008-0000-0800-0000ED110300}"/>
              </a:ext>
            </a:extLst>
          </xdr:cNvPr>
          <xdr:cNvSpPr>
            <a:spLocks/>
          </xdr:cNvSpPr>
        </xdr:nvSpPr>
        <xdr:spPr bwMode="auto">
          <a:xfrm>
            <a:off x="2322" y="1000"/>
            <a:ext cx="238" cy="166"/>
          </a:xfrm>
          <a:custGeom>
            <a:avLst/>
            <a:gdLst>
              <a:gd name="T0" fmla="*/ 0 w 238"/>
              <a:gd name="T1" fmla="*/ 100 h 166"/>
              <a:gd name="T2" fmla="*/ 44 w 238"/>
              <a:gd name="T3" fmla="*/ 100 h 166"/>
              <a:gd name="T4" fmla="*/ 56 w 238"/>
              <a:gd name="T5" fmla="*/ 92 h 166"/>
              <a:gd name="T6" fmla="*/ 70 w 238"/>
              <a:gd name="T7" fmla="*/ 94 h 166"/>
              <a:gd name="T8" fmla="*/ 94 w 238"/>
              <a:gd name="T9" fmla="*/ 106 h 166"/>
              <a:gd name="T10" fmla="*/ 96 w 238"/>
              <a:gd name="T11" fmla="*/ 122 h 166"/>
              <a:gd name="T12" fmla="*/ 146 w 238"/>
              <a:gd name="T13" fmla="*/ 124 h 166"/>
              <a:gd name="T14" fmla="*/ 150 w 238"/>
              <a:gd name="T15" fmla="*/ 166 h 166"/>
              <a:gd name="T16" fmla="*/ 238 w 238"/>
              <a:gd name="T17" fmla="*/ 166 h 166"/>
              <a:gd name="T18" fmla="*/ 228 w 238"/>
              <a:gd name="T19" fmla="*/ 138 h 166"/>
              <a:gd name="T20" fmla="*/ 238 w 238"/>
              <a:gd name="T21" fmla="*/ 116 h 166"/>
              <a:gd name="T22" fmla="*/ 238 w 238"/>
              <a:gd name="T23" fmla="*/ 86 h 166"/>
              <a:gd name="T24" fmla="*/ 206 w 238"/>
              <a:gd name="T25" fmla="*/ 84 h 166"/>
              <a:gd name="T26" fmla="*/ 194 w 238"/>
              <a:gd name="T27" fmla="*/ 44 h 166"/>
              <a:gd name="T28" fmla="*/ 186 w 238"/>
              <a:gd name="T29" fmla="*/ 12 h 166"/>
              <a:gd name="T30" fmla="*/ 130 w 238"/>
              <a:gd name="T31" fmla="*/ 14 h 166"/>
              <a:gd name="T32" fmla="*/ 128 w 238"/>
              <a:gd name="T33" fmla="*/ 0 h 166"/>
              <a:gd name="T34" fmla="*/ 28 w 238"/>
              <a:gd name="T35" fmla="*/ 0 h 16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w 238"/>
              <a:gd name="T55" fmla="*/ 0 h 166"/>
              <a:gd name="T56" fmla="*/ 238 w 238"/>
              <a:gd name="T57" fmla="*/ 166 h 166"/>
            </a:gdLst>
            <a:ahLst/>
            <a:cxnLst>
              <a:cxn ang="T36">
                <a:pos x="T0" y="T1"/>
              </a:cxn>
              <a:cxn ang="T37">
                <a:pos x="T2" y="T3"/>
              </a:cxn>
              <a:cxn ang="T38">
                <a:pos x="T4" y="T5"/>
              </a:cxn>
              <a:cxn ang="T39">
                <a:pos x="T6" y="T7"/>
              </a:cxn>
              <a:cxn ang="T40">
                <a:pos x="T8" y="T9"/>
              </a:cxn>
              <a:cxn ang="T41">
                <a:pos x="T10" y="T11"/>
              </a:cxn>
              <a:cxn ang="T42">
                <a:pos x="T12" y="T13"/>
              </a:cxn>
              <a:cxn ang="T43">
                <a:pos x="T14" y="T15"/>
              </a:cxn>
              <a:cxn ang="T44">
                <a:pos x="T16" y="T17"/>
              </a:cxn>
              <a:cxn ang="T45">
                <a:pos x="T18" y="T19"/>
              </a:cxn>
              <a:cxn ang="T46">
                <a:pos x="T20" y="T21"/>
              </a:cxn>
              <a:cxn ang="T47">
                <a:pos x="T22" y="T23"/>
              </a:cxn>
              <a:cxn ang="T48">
                <a:pos x="T24" y="T25"/>
              </a:cxn>
              <a:cxn ang="T49">
                <a:pos x="T26" y="T27"/>
              </a:cxn>
              <a:cxn ang="T50">
                <a:pos x="T28" y="T29"/>
              </a:cxn>
              <a:cxn ang="T51">
                <a:pos x="T30" y="T31"/>
              </a:cxn>
              <a:cxn ang="T52">
                <a:pos x="T32" y="T33"/>
              </a:cxn>
              <a:cxn ang="T53">
                <a:pos x="T34" y="T35"/>
              </a:cxn>
            </a:cxnLst>
            <a:rect l="T54" t="T55" r="T56" b="T57"/>
            <a:pathLst>
              <a:path w="238" h="166">
                <a:moveTo>
                  <a:pt x="0" y="100"/>
                </a:moveTo>
                <a:lnTo>
                  <a:pt x="44" y="100"/>
                </a:lnTo>
                <a:lnTo>
                  <a:pt x="56" y="92"/>
                </a:lnTo>
                <a:lnTo>
                  <a:pt x="70" y="94"/>
                </a:lnTo>
                <a:lnTo>
                  <a:pt x="94" y="106"/>
                </a:lnTo>
                <a:lnTo>
                  <a:pt x="96" y="122"/>
                </a:lnTo>
                <a:lnTo>
                  <a:pt x="146" y="124"/>
                </a:lnTo>
                <a:lnTo>
                  <a:pt x="150" y="166"/>
                </a:lnTo>
                <a:lnTo>
                  <a:pt x="238" y="166"/>
                </a:lnTo>
                <a:lnTo>
                  <a:pt x="228" y="138"/>
                </a:lnTo>
                <a:lnTo>
                  <a:pt x="238" y="116"/>
                </a:lnTo>
                <a:lnTo>
                  <a:pt x="238" y="86"/>
                </a:lnTo>
                <a:lnTo>
                  <a:pt x="206" y="84"/>
                </a:lnTo>
                <a:lnTo>
                  <a:pt x="194" y="44"/>
                </a:lnTo>
                <a:lnTo>
                  <a:pt x="186" y="12"/>
                </a:lnTo>
                <a:lnTo>
                  <a:pt x="130" y="14"/>
                </a:lnTo>
                <a:lnTo>
                  <a:pt x="128" y="0"/>
                </a:lnTo>
                <a:lnTo>
                  <a:pt x="28" y="0"/>
                </a:lnTo>
              </a:path>
            </a:pathLst>
          </a:custGeom>
          <a:noFill/>
          <a:ln w="9525" cap="flat" cmpd="sng">
            <a:solidFill>
              <a:srgbClr val="333399"/>
            </a:solidFill>
            <a:prstDash val="sysDot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1198" name="Freeform 2022">
            <a:extLst>
              <a:ext uri="{FF2B5EF4-FFF2-40B4-BE49-F238E27FC236}">
                <a16:creationId xmlns:a16="http://schemas.microsoft.com/office/drawing/2014/main" id="{00000000-0008-0000-0800-0000EE110300}"/>
              </a:ext>
            </a:extLst>
          </xdr:cNvPr>
          <xdr:cNvSpPr>
            <a:spLocks/>
          </xdr:cNvSpPr>
        </xdr:nvSpPr>
        <xdr:spPr bwMode="auto">
          <a:xfrm>
            <a:off x="2692" y="1346"/>
            <a:ext cx="226" cy="378"/>
          </a:xfrm>
          <a:custGeom>
            <a:avLst/>
            <a:gdLst>
              <a:gd name="T0" fmla="*/ 224 w 226"/>
              <a:gd name="T1" fmla="*/ 0 h 378"/>
              <a:gd name="T2" fmla="*/ 226 w 226"/>
              <a:gd name="T3" fmla="*/ 106 h 378"/>
              <a:gd name="T4" fmla="*/ 136 w 226"/>
              <a:gd name="T5" fmla="*/ 106 h 378"/>
              <a:gd name="T6" fmla="*/ 132 w 226"/>
              <a:gd name="T7" fmla="*/ 190 h 378"/>
              <a:gd name="T8" fmla="*/ 58 w 226"/>
              <a:gd name="T9" fmla="*/ 192 h 378"/>
              <a:gd name="T10" fmla="*/ 32 w 226"/>
              <a:gd name="T11" fmla="*/ 270 h 378"/>
              <a:gd name="T12" fmla="*/ 31 w 226"/>
              <a:gd name="T13" fmla="*/ 357 h 378"/>
              <a:gd name="T14" fmla="*/ 14 w 226"/>
              <a:gd name="T15" fmla="*/ 364 h 378"/>
              <a:gd name="T16" fmla="*/ 0 w 226"/>
              <a:gd name="T17" fmla="*/ 378 h 378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w 226"/>
              <a:gd name="T28" fmla="*/ 0 h 378"/>
              <a:gd name="T29" fmla="*/ 226 w 226"/>
              <a:gd name="T30" fmla="*/ 378 h 378"/>
            </a:gdLst>
            <a:ahLst/>
            <a:cxnLst>
              <a:cxn ang="T18">
                <a:pos x="T0" y="T1"/>
              </a:cxn>
              <a:cxn ang="T19">
                <a:pos x="T2" y="T3"/>
              </a:cxn>
              <a:cxn ang="T20">
                <a:pos x="T4" y="T5"/>
              </a:cxn>
              <a:cxn ang="T21">
                <a:pos x="T6" y="T7"/>
              </a:cxn>
              <a:cxn ang="T22">
                <a:pos x="T8" y="T9"/>
              </a:cxn>
              <a:cxn ang="T23">
                <a:pos x="T10" y="T11"/>
              </a:cxn>
              <a:cxn ang="T24">
                <a:pos x="T12" y="T13"/>
              </a:cxn>
              <a:cxn ang="T25">
                <a:pos x="T14" y="T15"/>
              </a:cxn>
              <a:cxn ang="T26">
                <a:pos x="T16" y="T17"/>
              </a:cxn>
            </a:cxnLst>
            <a:rect l="T27" t="T28" r="T29" b="T30"/>
            <a:pathLst>
              <a:path w="226" h="378">
                <a:moveTo>
                  <a:pt x="224" y="0"/>
                </a:moveTo>
                <a:lnTo>
                  <a:pt x="226" y="106"/>
                </a:lnTo>
                <a:lnTo>
                  <a:pt x="136" y="106"/>
                </a:lnTo>
                <a:lnTo>
                  <a:pt x="132" y="190"/>
                </a:lnTo>
                <a:lnTo>
                  <a:pt x="58" y="192"/>
                </a:lnTo>
                <a:lnTo>
                  <a:pt x="32" y="270"/>
                </a:lnTo>
                <a:lnTo>
                  <a:pt x="31" y="357"/>
                </a:lnTo>
                <a:lnTo>
                  <a:pt x="14" y="364"/>
                </a:lnTo>
                <a:lnTo>
                  <a:pt x="0" y="378"/>
                </a:lnTo>
              </a:path>
            </a:pathLst>
          </a:custGeom>
          <a:noFill/>
          <a:ln w="9525" cap="flat" cmpd="sng">
            <a:solidFill>
              <a:srgbClr val="333399"/>
            </a:solidFill>
            <a:prstDash val="sysDot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1199" name="Freeform 2023">
            <a:extLst>
              <a:ext uri="{FF2B5EF4-FFF2-40B4-BE49-F238E27FC236}">
                <a16:creationId xmlns:a16="http://schemas.microsoft.com/office/drawing/2014/main" id="{00000000-0008-0000-0800-0000EF110300}"/>
              </a:ext>
            </a:extLst>
          </xdr:cNvPr>
          <xdr:cNvSpPr>
            <a:spLocks/>
          </xdr:cNvSpPr>
        </xdr:nvSpPr>
        <xdr:spPr bwMode="auto">
          <a:xfrm>
            <a:off x="2724" y="1692"/>
            <a:ext cx="82" cy="54"/>
          </a:xfrm>
          <a:custGeom>
            <a:avLst/>
            <a:gdLst>
              <a:gd name="T0" fmla="*/ 0 w 82"/>
              <a:gd name="T1" fmla="*/ 12 h 54"/>
              <a:gd name="T2" fmla="*/ 20 w 82"/>
              <a:gd name="T3" fmla="*/ 12 h 54"/>
              <a:gd name="T4" fmla="*/ 24 w 82"/>
              <a:gd name="T5" fmla="*/ 0 h 54"/>
              <a:gd name="T6" fmla="*/ 82 w 82"/>
              <a:gd name="T7" fmla="*/ 2 h 54"/>
              <a:gd name="T8" fmla="*/ 82 w 82"/>
              <a:gd name="T9" fmla="*/ 54 h 54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  <a:gd name="T15" fmla="*/ 0 w 82"/>
              <a:gd name="T16" fmla="*/ 0 h 54"/>
              <a:gd name="T17" fmla="*/ 82 w 82"/>
              <a:gd name="T18" fmla="*/ 54 h 54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T15" t="T16" r="T17" b="T18"/>
            <a:pathLst>
              <a:path w="82" h="54">
                <a:moveTo>
                  <a:pt x="0" y="12"/>
                </a:moveTo>
                <a:lnTo>
                  <a:pt x="20" y="12"/>
                </a:lnTo>
                <a:lnTo>
                  <a:pt x="24" y="0"/>
                </a:lnTo>
                <a:lnTo>
                  <a:pt x="82" y="2"/>
                </a:lnTo>
                <a:lnTo>
                  <a:pt x="82" y="54"/>
                </a:lnTo>
              </a:path>
            </a:pathLst>
          </a:custGeom>
          <a:noFill/>
          <a:ln w="9525" cap="flat" cmpd="sng">
            <a:solidFill>
              <a:srgbClr val="333399"/>
            </a:solidFill>
            <a:prstDash val="sysDot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1200" name="Freeform 2024">
            <a:extLst>
              <a:ext uri="{FF2B5EF4-FFF2-40B4-BE49-F238E27FC236}">
                <a16:creationId xmlns:a16="http://schemas.microsoft.com/office/drawing/2014/main" id="{00000000-0008-0000-0800-0000F0110300}"/>
              </a:ext>
            </a:extLst>
          </xdr:cNvPr>
          <xdr:cNvSpPr>
            <a:spLocks/>
          </xdr:cNvSpPr>
        </xdr:nvSpPr>
        <xdr:spPr bwMode="auto">
          <a:xfrm>
            <a:off x="3351" y="1198"/>
            <a:ext cx="101" cy="136"/>
          </a:xfrm>
          <a:custGeom>
            <a:avLst/>
            <a:gdLst>
              <a:gd name="T0" fmla="*/ 0 w 101"/>
              <a:gd name="T1" fmla="*/ 1 h 136"/>
              <a:gd name="T2" fmla="*/ 73 w 101"/>
              <a:gd name="T3" fmla="*/ 0 h 136"/>
              <a:gd name="T4" fmla="*/ 74 w 101"/>
              <a:gd name="T5" fmla="*/ 94 h 136"/>
              <a:gd name="T6" fmla="*/ 101 w 101"/>
              <a:gd name="T7" fmla="*/ 94 h 136"/>
              <a:gd name="T8" fmla="*/ 101 w 101"/>
              <a:gd name="T9" fmla="*/ 136 h 136"/>
              <a:gd name="T10" fmla="*/ 3 w 101"/>
              <a:gd name="T11" fmla="*/ 136 h 136"/>
              <a:gd name="T12" fmla="*/ 0 60000 65536"/>
              <a:gd name="T13" fmla="*/ 0 60000 65536"/>
              <a:gd name="T14" fmla="*/ 0 60000 65536"/>
              <a:gd name="T15" fmla="*/ 0 60000 65536"/>
              <a:gd name="T16" fmla="*/ 0 60000 65536"/>
              <a:gd name="T17" fmla="*/ 0 60000 65536"/>
              <a:gd name="T18" fmla="*/ 0 w 101"/>
              <a:gd name="T19" fmla="*/ 0 h 136"/>
              <a:gd name="T20" fmla="*/ 101 w 101"/>
              <a:gd name="T21" fmla="*/ 136 h 136"/>
            </a:gdLst>
            <a:ahLst/>
            <a:cxnLst>
              <a:cxn ang="T12">
                <a:pos x="T0" y="T1"/>
              </a:cxn>
              <a:cxn ang="T13">
                <a:pos x="T2" y="T3"/>
              </a:cxn>
              <a:cxn ang="T14">
                <a:pos x="T4" y="T5"/>
              </a:cxn>
              <a:cxn ang="T15">
                <a:pos x="T6" y="T7"/>
              </a:cxn>
              <a:cxn ang="T16">
                <a:pos x="T8" y="T9"/>
              </a:cxn>
              <a:cxn ang="T17">
                <a:pos x="T10" y="T11"/>
              </a:cxn>
            </a:cxnLst>
            <a:rect l="T18" t="T19" r="T20" b="T21"/>
            <a:pathLst>
              <a:path w="101" h="136">
                <a:moveTo>
                  <a:pt x="0" y="1"/>
                </a:moveTo>
                <a:lnTo>
                  <a:pt x="73" y="0"/>
                </a:lnTo>
                <a:lnTo>
                  <a:pt x="74" y="94"/>
                </a:lnTo>
                <a:lnTo>
                  <a:pt x="101" y="94"/>
                </a:lnTo>
                <a:lnTo>
                  <a:pt x="101" y="136"/>
                </a:lnTo>
                <a:lnTo>
                  <a:pt x="3" y="136"/>
                </a:lnTo>
              </a:path>
            </a:pathLst>
          </a:custGeom>
          <a:noFill/>
          <a:ln w="9525" cap="flat" cmpd="sng">
            <a:solidFill>
              <a:srgbClr val="333399"/>
            </a:solidFill>
            <a:prstDash val="sysDot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1201" name="Freeform 2025">
            <a:extLst>
              <a:ext uri="{FF2B5EF4-FFF2-40B4-BE49-F238E27FC236}">
                <a16:creationId xmlns:a16="http://schemas.microsoft.com/office/drawing/2014/main" id="{00000000-0008-0000-0800-0000F1110300}"/>
              </a:ext>
            </a:extLst>
          </xdr:cNvPr>
          <xdr:cNvSpPr>
            <a:spLocks/>
          </xdr:cNvSpPr>
        </xdr:nvSpPr>
        <xdr:spPr bwMode="auto">
          <a:xfrm>
            <a:off x="2836" y="1086"/>
            <a:ext cx="514" cy="226"/>
          </a:xfrm>
          <a:custGeom>
            <a:avLst/>
            <a:gdLst>
              <a:gd name="T0" fmla="*/ 0 w 514"/>
              <a:gd name="T1" fmla="*/ 226 h 226"/>
              <a:gd name="T2" fmla="*/ 2 w 514"/>
              <a:gd name="T3" fmla="*/ 64 h 226"/>
              <a:gd name="T4" fmla="*/ 36 w 514"/>
              <a:gd name="T5" fmla="*/ 60 h 226"/>
              <a:gd name="T6" fmla="*/ 36 w 514"/>
              <a:gd name="T7" fmla="*/ 10 h 226"/>
              <a:gd name="T8" fmla="*/ 200 w 514"/>
              <a:gd name="T9" fmla="*/ 14 h 226"/>
              <a:gd name="T10" fmla="*/ 216 w 514"/>
              <a:gd name="T11" fmla="*/ 0 h 226"/>
              <a:gd name="T12" fmla="*/ 514 w 514"/>
              <a:gd name="T13" fmla="*/ 2 h 226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514"/>
              <a:gd name="T22" fmla="*/ 0 h 226"/>
              <a:gd name="T23" fmla="*/ 514 w 514"/>
              <a:gd name="T24" fmla="*/ 226 h 226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514" h="226">
                <a:moveTo>
                  <a:pt x="0" y="226"/>
                </a:moveTo>
                <a:lnTo>
                  <a:pt x="2" y="64"/>
                </a:lnTo>
                <a:lnTo>
                  <a:pt x="36" y="60"/>
                </a:lnTo>
                <a:lnTo>
                  <a:pt x="36" y="10"/>
                </a:lnTo>
                <a:lnTo>
                  <a:pt x="200" y="14"/>
                </a:lnTo>
                <a:lnTo>
                  <a:pt x="216" y="0"/>
                </a:lnTo>
                <a:lnTo>
                  <a:pt x="514" y="2"/>
                </a:lnTo>
              </a:path>
            </a:pathLst>
          </a:custGeom>
          <a:noFill/>
          <a:ln w="9525" cap="flat" cmpd="sng">
            <a:solidFill>
              <a:srgbClr val="333399"/>
            </a:solidFill>
            <a:prstDash val="sysDot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1202" name="Freeform 2026">
            <a:extLst>
              <a:ext uri="{FF2B5EF4-FFF2-40B4-BE49-F238E27FC236}">
                <a16:creationId xmlns:a16="http://schemas.microsoft.com/office/drawing/2014/main" id="{00000000-0008-0000-0800-0000F2110300}"/>
              </a:ext>
            </a:extLst>
          </xdr:cNvPr>
          <xdr:cNvSpPr>
            <a:spLocks/>
          </xdr:cNvSpPr>
        </xdr:nvSpPr>
        <xdr:spPr bwMode="auto">
          <a:xfrm>
            <a:off x="2895" y="648"/>
            <a:ext cx="3" cy="449"/>
          </a:xfrm>
          <a:custGeom>
            <a:avLst/>
            <a:gdLst>
              <a:gd name="T0" fmla="*/ 3 w 3"/>
              <a:gd name="T1" fmla="*/ 0 h 449"/>
              <a:gd name="T2" fmla="*/ 0 w 3"/>
              <a:gd name="T3" fmla="*/ 449 h 449"/>
              <a:gd name="T4" fmla="*/ 0 60000 65536"/>
              <a:gd name="T5" fmla="*/ 0 60000 65536"/>
              <a:gd name="T6" fmla="*/ 0 w 3"/>
              <a:gd name="T7" fmla="*/ 0 h 449"/>
              <a:gd name="T8" fmla="*/ 3 w 3"/>
              <a:gd name="T9" fmla="*/ 449 h 449"/>
            </a:gdLst>
            <a:ahLst/>
            <a:cxnLst>
              <a:cxn ang="T4">
                <a:pos x="T0" y="T1"/>
              </a:cxn>
              <a:cxn ang="T5">
                <a:pos x="T2" y="T3"/>
              </a:cxn>
            </a:cxnLst>
            <a:rect l="T6" t="T7" r="T8" b="T9"/>
            <a:pathLst>
              <a:path w="3" h="449">
                <a:moveTo>
                  <a:pt x="3" y="0"/>
                </a:moveTo>
                <a:lnTo>
                  <a:pt x="0" y="449"/>
                </a:lnTo>
              </a:path>
            </a:pathLst>
          </a:custGeom>
          <a:noFill/>
          <a:ln w="9525" cap="flat" cmpd="sng">
            <a:solidFill>
              <a:srgbClr val="333399"/>
            </a:solidFill>
            <a:prstDash val="sysDot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1203" name="Freeform 2027">
            <a:extLst>
              <a:ext uri="{FF2B5EF4-FFF2-40B4-BE49-F238E27FC236}">
                <a16:creationId xmlns:a16="http://schemas.microsoft.com/office/drawing/2014/main" id="{00000000-0008-0000-0800-0000F3110300}"/>
              </a:ext>
            </a:extLst>
          </xdr:cNvPr>
          <xdr:cNvSpPr>
            <a:spLocks/>
          </xdr:cNvSpPr>
        </xdr:nvSpPr>
        <xdr:spPr bwMode="auto">
          <a:xfrm>
            <a:off x="2898" y="928"/>
            <a:ext cx="320" cy="158"/>
          </a:xfrm>
          <a:custGeom>
            <a:avLst/>
            <a:gdLst>
              <a:gd name="T0" fmla="*/ 0 w 320"/>
              <a:gd name="T1" fmla="*/ 92 h 158"/>
              <a:gd name="T2" fmla="*/ 78 w 320"/>
              <a:gd name="T3" fmla="*/ 94 h 158"/>
              <a:gd name="T4" fmla="*/ 76 w 320"/>
              <a:gd name="T5" fmla="*/ 2 h 158"/>
              <a:gd name="T6" fmla="*/ 318 w 320"/>
              <a:gd name="T7" fmla="*/ 0 h 158"/>
              <a:gd name="T8" fmla="*/ 320 w 320"/>
              <a:gd name="T9" fmla="*/ 78 h 158"/>
              <a:gd name="T10" fmla="*/ 292 w 320"/>
              <a:gd name="T11" fmla="*/ 78 h 158"/>
              <a:gd name="T12" fmla="*/ 294 w 320"/>
              <a:gd name="T13" fmla="*/ 158 h 158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320"/>
              <a:gd name="T22" fmla="*/ 0 h 158"/>
              <a:gd name="T23" fmla="*/ 320 w 320"/>
              <a:gd name="T24" fmla="*/ 158 h 158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320" h="158">
                <a:moveTo>
                  <a:pt x="0" y="92"/>
                </a:moveTo>
                <a:lnTo>
                  <a:pt x="78" y="94"/>
                </a:lnTo>
                <a:lnTo>
                  <a:pt x="76" y="2"/>
                </a:lnTo>
                <a:lnTo>
                  <a:pt x="318" y="0"/>
                </a:lnTo>
                <a:lnTo>
                  <a:pt x="320" y="78"/>
                </a:lnTo>
                <a:lnTo>
                  <a:pt x="292" y="78"/>
                </a:lnTo>
                <a:lnTo>
                  <a:pt x="294" y="158"/>
                </a:lnTo>
              </a:path>
            </a:pathLst>
          </a:custGeom>
          <a:noFill/>
          <a:ln w="9525" cap="flat" cmpd="sng">
            <a:solidFill>
              <a:srgbClr val="333399"/>
            </a:solidFill>
            <a:prstDash val="sysDot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1204" name="Freeform 2028">
            <a:extLst>
              <a:ext uri="{FF2B5EF4-FFF2-40B4-BE49-F238E27FC236}">
                <a16:creationId xmlns:a16="http://schemas.microsoft.com/office/drawing/2014/main" id="{00000000-0008-0000-0800-0000F4110300}"/>
              </a:ext>
            </a:extLst>
          </xdr:cNvPr>
          <xdr:cNvSpPr>
            <a:spLocks/>
          </xdr:cNvSpPr>
        </xdr:nvSpPr>
        <xdr:spPr bwMode="auto">
          <a:xfrm>
            <a:off x="3282" y="844"/>
            <a:ext cx="68" cy="84"/>
          </a:xfrm>
          <a:custGeom>
            <a:avLst/>
            <a:gdLst>
              <a:gd name="T0" fmla="*/ 68 w 68"/>
              <a:gd name="T1" fmla="*/ 0 h 84"/>
              <a:gd name="T2" fmla="*/ 0 w 68"/>
              <a:gd name="T3" fmla="*/ 2 h 84"/>
              <a:gd name="T4" fmla="*/ 2 w 68"/>
              <a:gd name="T5" fmla="*/ 84 h 84"/>
              <a:gd name="T6" fmla="*/ 66 w 68"/>
              <a:gd name="T7" fmla="*/ 84 h 84"/>
              <a:gd name="T8" fmla="*/ 0 60000 65536"/>
              <a:gd name="T9" fmla="*/ 0 60000 65536"/>
              <a:gd name="T10" fmla="*/ 0 60000 65536"/>
              <a:gd name="T11" fmla="*/ 0 60000 65536"/>
              <a:gd name="T12" fmla="*/ 0 w 68"/>
              <a:gd name="T13" fmla="*/ 0 h 84"/>
              <a:gd name="T14" fmla="*/ 68 w 68"/>
              <a:gd name="T15" fmla="*/ 84 h 84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68" h="84">
                <a:moveTo>
                  <a:pt x="68" y="0"/>
                </a:moveTo>
                <a:lnTo>
                  <a:pt x="0" y="2"/>
                </a:lnTo>
                <a:lnTo>
                  <a:pt x="2" y="84"/>
                </a:lnTo>
                <a:lnTo>
                  <a:pt x="66" y="84"/>
                </a:lnTo>
              </a:path>
            </a:pathLst>
          </a:custGeom>
          <a:noFill/>
          <a:ln w="9525" cap="flat" cmpd="sng">
            <a:solidFill>
              <a:srgbClr val="333399"/>
            </a:solidFill>
            <a:prstDash val="sysDot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1205" name="Freeform 2029">
            <a:extLst>
              <a:ext uri="{FF2B5EF4-FFF2-40B4-BE49-F238E27FC236}">
                <a16:creationId xmlns:a16="http://schemas.microsoft.com/office/drawing/2014/main" id="{00000000-0008-0000-0800-0000F5110300}"/>
              </a:ext>
            </a:extLst>
          </xdr:cNvPr>
          <xdr:cNvSpPr>
            <a:spLocks/>
          </xdr:cNvSpPr>
        </xdr:nvSpPr>
        <xdr:spPr bwMode="auto">
          <a:xfrm>
            <a:off x="3356" y="646"/>
            <a:ext cx="405" cy="442"/>
          </a:xfrm>
          <a:custGeom>
            <a:avLst/>
            <a:gdLst>
              <a:gd name="T0" fmla="*/ 344 w 405"/>
              <a:gd name="T1" fmla="*/ 0 h 442"/>
              <a:gd name="T2" fmla="*/ 346 w 405"/>
              <a:gd name="T3" fmla="*/ 67 h 442"/>
              <a:gd name="T4" fmla="*/ 374 w 405"/>
              <a:gd name="T5" fmla="*/ 68 h 442"/>
              <a:gd name="T6" fmla="*/ 376 w 405"/>
              <a:gd name="T7" fmla="*/ 110 h 442"/>
              <a:gd name="T8" fmla="*/ 405 w 405"/>
              <a:gd name="T9" fmla="*/ 110 h 442"/>
              <a:gd name="T10" fmla="*/ 403 w 405"/>
              <a:gd name="T11" fmla="*/ 169 h 442"/>
              <a:gd name="T12" fmla="*/ 382 w 405"/>
              <a:gd name="T13" fmla="*/ 170 h 442"/>
              <a:gd name="T14" fmla="*/ 384 w 405"/>
              <a:gd name="T15" fmla="*/ 186 h 442"/>
              <a:gd name="T16" fmla="*/ 404 w 405"/>
              <a:gd name="T17" fmla="*/ 186 h 442"/>
              <a:gd name="T18" fmla="*/ 402 w 405"/>
              <a:gd name="T19" fmla="*/ 272 h 442"/>
              <a:gd name="T20" fmla="*/ 316 w 405"/>
              <a:gd name="T21" fmla="*/ 274 h 442"/>
              <a:gd name="T22" fmla="*/ 316 w 405"/>
              <a:gd name="T23" fmla="*/ 308 h 442"/>
              <a:gd name="T24" fmla="*/ 258 w 405"/>
              <a:gd name="T25" fmla="*/ 308 h 442"/>
              <a:gd name="T26" fmla="*/ 256 w 405"/>
              <a:gd name="T27" fmla="*/ 378 h 442"/>
              <a:gd name="T28" fmla="*/ 210 w 405"/>
              <a:gd name="T29" fmla="*/ 377 h 442"/>
              <a:gd name="T30" fmla="*/ 211 w 405"/>
              <a:gd name="T31" fmla="*/ 442 h 442"/>
              <a:gd name="T32" fmla="*/ 0 w 405"/>
              <a:gd name="T33" fmla="*/ 440 h 442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w 405"/>
              <a:gd name="T52" fmla="*/ 0 h 442"/>
              <a:gd name="T53" fmla="*/ 405 w 405"/>
              <a:gd name="T54" fmla="*/ 442 h 442"/>
            </a:gdLst>
            <a:ahLst/>
            <a:cxnLst>
              <a:cxn ang="T34">
                <a:pos x="T0" y="T1"/>
              </a:cxn>
              <a:cxn ang="T35">
                <a:pos x="T2" y="T3"/>
              </a:cxn>
              <a:cxn ang="T36">
                <a:pos x="T4" y="T5"/>
              </a:cxn>
              <a:cxn ang="T37">
                <a:pos x="T6" y="T7"/>
              </a:cxn>
              <a:cxn ang="T38">
                <a:pos x="T8" y="T9"/>
              </a:cxn>
              <a:cxn ang="T39">
                <a:pos x="T10" y="T11"/>
              </a:cxn>
              <a:cxn ang="T40">
                <a:pos x="T12" y="T13"/>
              </a:cxn>
              <a:cxn ang="T41">
                <a:pos x="T14" y="T15"/>
              </a:cxn>
              <a:cxn ang="T42">
                <a:pos x="T16" y="T17"/>
              </a:cxn>
              <a:cxn ang="T43">
                <a:pos x="T18" y="T19"/>
              </a:cxn>
              <a:cxn ang="T44">
                <a:pos x="T20" y="T21"/>
              </a:cxn>
              <a:cxn ang="T45">
                <a:pos x="T22" y="T23"/>
              </a:cxn>
              <a:cxn ang="T46">
                <a:pos x="T24" y="T25"/>
              </a:cxn>
              <a:cxn ang="T47">
                <a:pos x="T26" y="T27"/>
              </a:cxn>
              <a:cxn ang="T48">
                <a:pos x="T28" y="T29"/>
              </a:cxn>
              <a:cxn ang="T49">
                <a:pos x="T30" y="T31"/>
              </a:cxn>
              <a:cxn ang="T50">
                <a:pos x="T32" y="T33"/>
              </a:cxn>
            </a:cxnLst>
            <a:rect l="T51" t="T52" r="T53" b="T54"/>
            <a:pathLst>
              <a:path w="405" h="442">
                <a:moveTo>
                  <a:pt x="344" y="0"/>
                </a:moveTo>
                <a:lnTo>
                  <a:pt x="346" y="67"/>
                </a:lnTo>
                <a:lnTo>
                  <a:pt x="374" y="68"/>
                </a:lnTo>
                <a:lnTo>
                  <a:pt x="376" y="110"/>
                </a:lnTo>
                <a:lnTo>
                  <a:pt x="405" y="110"/>
                </a:lnTo>
                <a:lnTo>
                  <a:pt x="403" y="169"/>
                </a:lnTo>
                <a:lnTo>
                  <a:pt x="382" y="170"/>
                </a:lnTo>
                <a:lnTo>
                  <a:pt x="384" y="186"/>
                </a:lnTo>
                <a:lnTo>
                  <a:pt x="404" y="186"/>
                </a:lnTo>
                <a:lnTo>
                  <a:pt x="402" y="272"/>
                </a:lnTo>
                <a:lnTo>
                  <a:pt x="316" y="274"/>
                </a:lnTo>
                <a:lnTo>
                  <a:pt x="316" y="308"/>
                </a:lnTo>
                <a:lnTo>
                  <a:pt x="258" y="308"/>
                </a:lnTo>
                <a:lnTo>
                  <a:pt x="256" y="378"/>
                </a:lnTo>
                <a:lnTo>
                  <a:pt x="210" y="377"/>
                </a:lnTo>
                <a:lnTo>
                  <a:pt x="211" y="442"/>
                </a:lnTo>
                <a:lnTo>
                  <a:pt x="0" y="440"/>
                </a:lnTo>
              </a:path>
            </a:pathLst>
          </a:custGeom>
          <a:noFill/>
          <a:ln w="9525" cap="flat" cmpd="sng">
            <a:solidFill>
              <a:srgbClr val="333399"/>
            </a:solidFill>
            <a:prstDash val="sysDot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1206" name="Freeform 2030">
            <a:extLst>
              <a:ext uri="{FF2B5EF4-FFF2-40B4-BE49-F238E27FC236}">
                <a16:creationId xmlns:a16="http://schemas.microsoft.com/office/drawing/2014/main" id="{00000000-0008-0000-0800-0000F6110300}"/>
              </a:ext>
            </a:extLst>
          </xdr:cNvPr>
          <xdr:cNvSpPr>
            <a:spLocks/>
          </xdr:cNvSpPr>
        </xdr:nvSpPr>
        <xdr:spPr bwMode="auto">
          <a:xfrm>
            <a:off x="3314" y="1476"/>
            <a:ext cx="184" cy="269"/>
          </a:xfrm>
          <a:custGeom>
            <a:avLst/>
            <a:gdLst>
              <a:gd name="T0" fmla="*/ 184 w 184"/>
              <a:gd name="T1" fmla="*/ 0 h 269"/>
              <a:gd name="T2" fmla="*/ 184 w 184"/>
              <a:gd name="T3" fmla="*/ 65 h 269"/>
              <a:gd name="T4" fmla="*/ 126 w 184"/>
              <a:gd name="T5" fmla="*/ 64 h 269"/>
              <a:gd name="T6" fmla="*/ 124 w 184"/>
              <a:gd name="T7" fmla="*/ 94 h 269"/>
              <a:gd name="T8" fmla="*/ 63 w 184"/>
              <a:gd name="T9" fmla="*/ 95 h 269"/>
              <a:gd name="T10" fmla="*/ 63 w 184"/>
              <a:gd name="T11" fmla="*/ 137 h 269"/>
              <a:gd name="T12" fmla="*/ 24 w 184"/>
              <a:gd name="T13" fmla="*/ 137 h 269"/>
              <a:gd name="T14" fmla="*/ 24 w 184"/>
              <a:gd name="T15" fmla="*/ 198 h 269"/>
              <a:gd name="T16" fmla="*/ 0 w 184"/>
              <a:gd name="T17" fmla="*/ 198 h 269"/>
              <a:gd name="T18" fmla="*/ 0 w 184"/>
              <a:gd name="T19" fmla="*/ 269 h 269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w 184"/>
              <a:gd name="T31" fmla="*/ 0 h 269"/>
              <a:gd name="T32" fmla="*/ 184 w 184"/>
              <a:gd name="T33" fmla="*/ 269 h 269"/>
            </a:gdLst>
            <a:ahLst/>
            <a:cxnLst>
              <a:cxn ang="T20">
                <a:pos x="T0" y="T1"/>
              </a:cxn>
              <a:cxn ang="T21">
                <a:pos x="T2" y="T3"/>
              </a:cxn>
              <a:cxn ang="T22">
                <a:pos x="T4" y="T5"/>
              </a:cxn>
              <a:cxn ang="T23">
                <a:pos x="T6" y="T7"/>
              </a:cxn>
              <a:cxn ang="T24">
                <a:pos x="T8" y="T9"/>
              </a:cxn>
              <a:cxn ang="T25">
                <a:pos x="T10" y="T11"/>
              </a:cxn>
              <a:cxn ang="T26">
                <a:pos x="T12" y="T13"/>
              </a:cxn>
              <a:cxn ang="T27">
                <a:pos x="T14" y="T15"/>
              </a:cxn>
              <a:cxn ang="T28">
                <a:pos x="T16" y="T17"/>
              </a:cxn>
              <a:cxn ang="T29">
                <a:pos x="T18" y="T19"/>
              </a:cxn>
            </a:cxnLst>
            <a:rect l="T30" t="T31" r="T32" b="T33"/>
            <a:pathLst>
              <a:path w="184" h="269">
                <a:moveTo>
                  <a:pt x="184" y="0"/>
                </a:moveTo>
                <a:lnTo>
                  <a:pt x="184" y="65"/>
                </a:lnTo>
                <a:lnTo>
                  <a:pt x="126" y="64"/>
                </a:lnTo>
                <a:lnTo>
                  <a:pt x="124" y="94"/>
                </a:lnTo>
                <a:lnTo>
                  <a:pt x="63" y="95"/>
                </a:lnTo>
                <a:lnTo>
                  <a:pt x="63" y="137"/>
                </a:lnTo>
                <a:lnTo>
                  <a:pt x="24" y="137"/>
                </a:lnTo>
                <a:lnTo>
                  <a:pt x="24" y="198"/>
                </a:lnTo>
                <a:lnTo>
                  <a:pt x="0" y="198"/>
                </a:lnTo>
                <a:lnTo>
                  <a:pt x="0" y="269"/>
                </a:lnTo>
              </a:path>
            </a:pathLst>
          </a:custGeom>
          <a:noFill/>
          <a:ln w="9525" cap="flat" cmpd="sng">
            <a:solidFill>
              <a:srgbClr val="333399"/>
            </a:solidFill>
            <a:prstDash val="sysDot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1207" name="Freeform 2031">
            <a:extLst>
              <a:ext uri="{FF2B5EF4-FFF2-40B4-BE49-F238E27FC236}">
                <a16:creationId xmlns:a16="http://schemas.microsoft.com/office/drawing/2014/main" id="{00000000-0008-0000-0800-0000F7110300}"/>
              </a:ext>
            </a:extLst>
          </xdr:cNvPr>
          <xdr:cNvSpPr>
            <a:spLocks/>
          </xdr:cNvSpPr>
        </xdr:nvSpPr>
        <xdr:spPr bwMode="auto">
          <a:xfrm>
            <a:off x="1634" y="626"/>
            <a:ext cx="396" cy="726"/>
          </a:xfrm>
          <a:custGeom>
            <a:avLst/>
            <a:gdLst>
              <a:gd name="T0" fmla="*/ 0 w 396"/>
              <a:gd name="T1" fmla="*/ 0 h 726"/>
              <a:gd name="T2" fmla="*/ 0 w 396"/>
              <a:gd name="T3" fmla="*/ 118 h 726"/>
              <a:gd name="T4" fmla="*/ 54 w 396"/>
              <a:gd name="T5" fmla="*/ 118 h 726"/>
              <a:gd name="T6" fmla="*/ 86 w 396"/>
              <a:gd name="T7" fmla="*/ 172 h 726"/>
              <a:gd name="T8" fmla="*/ 86 w 396"/>
              <a:gd name="T9" fmla="*/ 208 h 726"/>
              <a:gd name="T10" fmla="*/ 52 w 396"/>
              <a:gd name="T11" fmla="*/ 210 h 726"/>
              <a:gd name="T12" fmla="*/ 50 w 396"/>
              <a:gd name="T13" fmla="*/ 442 h 726"/>
              <a:gd name="T14" fmla="*/ 102 w 396"/>
              <a:gd name="T15" fmla="*/ 442 h 726"/>
              <a:gd name="T16" fmla="*/ 102 w 396"/>
              <a:gd name="T17" fmla="*/ 512 h 726"/>
              <a:gd name="T18" fmla="*/ 118 w 396"/>
              <a:gd name="T19" fmla="*/ 530 h 726"/>
              <a:gd name="T20" fmla="*/ 110 w 396"/>
              <a:gd name="T21" fmla="*/ 608 h 726"/>
              <a:gd name="T22" fmla="*/ 124 w 396"/>
              <a:gd name="T23" fmla="*/ 636 h 726"/>
              <a:gd name="T24" fmla="*/ 126 w 396"/>
              <a:gd name="T25" fmla="*/ 726 h 726"/>
              <a:gd name="T26" fmla="*/ 170 w 396"/>
              <a:gd name="T27" fmla="*/ 726 h 726"/>
              <a:gd name="T28" fmla="*/ 170 w 396"/>
              <a:gd name="T29" fmla="*/ 708 h 726"/>
              <a:gd name="T30" fmla="*/ 277 w 396"/>
              <a:gd name="T31" fmla="*/ 708 h 726"/>
              <a:gd name="T32" fmla="*/ 279 w 396"/>
              <a:gd name="T33" fmla="*/ 634 h 726"/>
              <a:gd name="T34" fmla="*/ 330 w 396"/>
              <a:gd name="T35" fmla="*/ 634 h 726"/>
              <a:gd name="T36" fmla="*/ 330 w 396"/>
              <a:gd name="T37" fmla="*/ 508 h 726"/>
              <a:gd name="T38" fmla="*/ 316 w 396"/>
              <a:gd name="T39" fmla="*/ 507 h 726"/>
              <a:gd name="T40" fmla="*/ 318 w 396"/>
              <a:gd name="T41" fmla="*/ 418 h 726"/>
              <a:gd name="T42" fmla="*/ 387 w 396"/>
              <a:gd name="T43" fmla="*/ 418 h 726"/>
              <a:gd name="T44" fmla="*/ 386 w 396"/>
              <a:gd name="T45" fmla="*/ 346 h 726"/>
              <a:gd name="T46" fmla="*/ 344 w 396"/>
              <a:gd name="T47" fmla="*/ 296 h 726"/>
              <a:gd name="T48" fmla="*/ 340 w 396"/>
              <a:gd name="T49" fmla="*/ 270 h 726"/>
              <a:gd name="T50" fmla="*/ 348 w 396"/>
              <a:gd name="T51" fmla="*/ 256 h 726"/>
              <a:gd name="T52" fmla="*/ 364 w 396"/>
              <a:gd name="T53" fmla="*/ 238 h 726"/>
              <a:gd name="T54" fmla="*/ 380 w 396"/>
              <a:gd name="T55" fmla="*/ 228 h 726"/>
              <a:gd name="T56" fmla="*/ 396 w 396"/>
              <a:gd name="T57" fmla="*/ 222 h 726"/>
              <a:gd name="T58" fmla="*/ 392 w 396"/>
              <a:gd name="T59" fmla="*/ 200 h 726"/>
              <a:gd name="T60" fmla="*/ 386 w 396"/>
              <a:gd name="T61" fmla="*/ 184 h 726"/>
              <a:gd name="T62" fmla="*/ 384 w 396"/>
              <a:gd name="T63" fmla="*/ 170 h 726"/>
              <a:gd name="T64" fmla="*/ 296 w 396"/>
              <a:gd name="T65" fmla="*/ 94 h 726"/>
              <a:gd name="T66" fmla="*/ 292 w 396"/>
              <a:gd name="T67" fmla="*/ 48 h 726"/>
              <a:gd name="T68" fmla="*/ 230 w 396"/>
              <a:gd name="T69" fmla="*/ 36 h 726"/>
              <a:gd name="T70" fmla="*/ 222 w 396"/>
              <a:gd name="T71" fmla="*/ 2 h 72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w 396"/>
              <a:gd name="T109" fmla="*/ 0 h 726"/>
              <a:gd name="T110" fmla="*/ 396 w 396"/>
              <a:gd name="T111" fmla="*/ 726 h 726"/>
            </a:gdLst>
            <a:ahLst/>
            <a:cxnLst>
              <a:cxn ang="T72">
                <a:pos x="T0" y="T1"/>
              </a:cxn>
              <a:cxn ang="T73">
                <a:pos x="T2" y="T3"/>
              </a:cxn>
              <a:cxn ang="T74">
                <a:pos x="T4" y="T5"/>
              </a:cxn>
              <a:cxn ang="T75">
                <a:pos x="T6" y="T7"/>
              </a:cxn>
              <a:cxn ang="T76">
                <a:pos x="T8" y="T9"/>
              </a:cxn>
              <a:cxn ang="T77">
                <a:pos x="T10" y="T11"/>
              </a:cxn>
              <a:cxn ang="T78">
                <a:pos x="T12" y="T13"/>
              </a:cxn>
              <a:cxn ang="T79">
                <a:pos x="T14" y="T15"/>
              </a:cxn>
              <a:cxn ang="T80">
                <a:pos x="T16" y="T17"/>
              </a:cxn>
              <a:cxn ang="T81">
                <a:pos x="T18" y="T19"/>
              </a:cxn>
              <a:cxn ang="T82">
                <a:pos x="T20" y="T21"/>
              </a:cxn>
              <a:cxn ang="T83">
                <a:pos x="T22" y="T23"/>
              </a:cxn>
              <a:cxn ang="T84">
                <a:pos x="T24" y="T25"/>
              </a:cxn>
              <a:cxn ang="T85">
                <a:pos x="T26" y="T27"/>
              </a:cxn>
              <a:cxn ang="T86">
                <a:pos x="T28" y="T29"/>
              </a:cxn>
              <a:cxn ang="T87">
                <a:pos x="T30" y="T31"/>
              </a:cxn>
              <a:cxn ang="T88">
                <a:pos x="T32" y="T33"/>
              </a:cxn>
              <a:cxn ang="T89">
                <a:pos x="T34" y="T35"/>
              </a:cxn>
              <a:cxn ang="T90">
                <a:pos x="T36" y="T37"/>
              </a:cxn>
              <a:cxn ang="T91">
                <a:pos x="T38" y="T39"/>
              </a:cxn>
              <a:cxn ang="T92">
                <a:pos x="T40" y="T41"/>
              </a:cxn>
              <a:cxn ang="T93">
                <a:pos x="T42" y="T43"/>
              </a:cxn>
              <a:cxn ang="T94">
                <a:pos x="T44" y="T45"/>
              </a:cxn>
              <a:cxn ang="T95">
                <a:pos x="T46" y="T47"/>
              </a:cxn>
              <a:cxn ang="T96">
                <a:pos x="T48" y="T49"/>
              </a:cxn>
              <a:cxn ang="T97">
                <a:pos x="T50" y="T51"/>
              </a:cxn>
              <a:cxn ang="T98">
                <a:pos x="T52" y="T53"/>
              </a:cxn>
              <a:cxn ang="T99">
                <a:pos x="T54" y="T55"/>
              </a:cxn>
              <a:cxn ang="T100">
                <a:pos x="T56" y="T57"/>
              </a:cxn>
              <a:cxn ang="T101">
                <a:pos x="T58" y="T59"/>
              </a:cxn>
              <a:cxn ang="T102">
                <a:pos x="T60" y="T61"/>
              </a:cxn>
              <a:cxn ang="T103">
                <a:pos x="T62" y="T63"/>
              </a:cxn>
              <a:cxn ang="T104">
                <a:pos x="T64" y="T65"/>
              </a:cxn>
              <a:cxn ang="T105">
                <a:pos x="T66" y="T67"/>
              </a:cxn>
              <a:cxn ang="T106">
                <a:pos x="T68" y="T69"/>
              </a:cxn>
              <a:cxn ang="T107">
                <a:pos x="T70" y="T71"/>
              </a:cxn>
            </a:cxnLst>
            <a:rect l="T108" t="T109" r="T110" b="T111"/>
            <a:pathLst>
              <a:path w="396" h="726">
                <a:moveTo>
                  <a:pt x="0" y="0"/>
                </a:moveTo>
                <a:lnTo>
                  <a:pt x="0" y="118"/>
                </a:lnTo>
                <a:lnTo>
                  <a:pt x="54" y="118"/>
                </a:lnTo>
                <a:lnTo>
                  <a:pt x="86" y="172"/>
                </a:lnTo>
                <a:lnTo>
                  <a:pt x="86" y="208"/>
                </a:lnTo>
                <a:lnTo>
                  <a:pt x="52" y="210"/>
                </a:lnTo>
                <a:lnTo>
                  <a:pt x="50" y="442"/>
                </a:lnTo>
                <a:lnTo>
                  <a:pt x="102" y="442"/>
                </a:lnTo>
                <a:lnTo>
                  <a:pt x="102" y="512"/>
                </a:lnTo>
                <a:lnTo>
                  <a:pt x="118" y="530"/>
                </a:lnTo>
                <a:lnTo>
                  <a:pt x="110" y="608"/>
                </a:lnTo>
                <a:lnTo>
                  <a:pt x="124" y="636"/>
                </a:lnTo>
                <a:lnTo>
                  <a:pt x="126" y="726"/>
                </a:lnTo>
                <a:lnTo>
                  <a:pt x="170" y="726"/>
                </a:lnTo>
                <a:lnTo>
                  <a:pt x="170" y="708"/>
                </a:lnTo>
                <a:lnTo>
                  <a:pt x="277" y="708"/>
                </a:lnTo>
                <a:lnTo>
                  <a:pt x="279" y="634"/>
                </a:lnTo>
                <a:lnTo>
                  <a:pt x="330" y="634"/>
                </a:lnTo>
                <a:lnTo>
                  <a:pt x="330" y="508"/>
                </a:lnTo>
                <a:lnTo>
                  <a:pt x="316" y="507"/>
                </a:lnTo>
                <a:lnTo>
                  <a:pt x="318" y="418"/>
                </a:lnTo>
                <a:lnTo>
                  <a:pt x="387" y="418"/>
                </a:lnTo>
                <a:lnTo>
                  <a:pt x="386" y="346"/>
                </a:lnTo>
                <a:lnTo>
                  <a:pt x="344" y="296"/>
                </a:lnTo>
                <a:lnTo>
                  <a:pt x="340" y="270"/>
                </a:lnTo>
                <a:lnTo>
                  <a:pt x="348" y="256"/>
                </a:lnTo>
                <a:lnTo>
                  <a:pt x="364" y="238"/>
                </a:lnTo>
                <a:lnTo>
                  <a:pt x="380" y="228"/>
                </a:lnTo>
                <a:lnTo>
                  <a:pt x="396" y="222"/>
                </a:lnTo>
                <a:lnTo>
                  <a:pt x="392" y="200"/>
                </a:lnTo>
                <a:lnTo>
                  <a:pt x="386" y="184"/>
                </a:lnTo>
                <a:lnTo>
                  <a:pt x="384" y="170"/>
                </a:lnTo>
                <a:lnTo>
                  <a:pt x="296" y="94"/>
                </a:lnTo>
                <a:lnTo>
                  <a:pt x="292" y="48"/>
                </a:lnTo>
                <a:lnTo>
                  <a:pt x="230" y="36"/>
                </a:lnTo>
                <a:lnTo>
                  <a:pt x="222" y="2"/>
                </a:lnTo>
              </a:path>
            </a:pathLst>
          </a:custGeom>
          <a:noFill/>
          <a:ln w="9525" cap="flat" cmpd="sng">
            <a:solidFill>
              <a:srgbClr val="333399"/>
            </a:solidFill>
            <a:prstDash val="sysDot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1208" name="Freeform 2032">
            <a:extLst>
              <a:ext uri="{FF2B5EF4-FFF2-40B4-BE49-F238E27FC236}">
                <a16:creationId xmlns:a16="http://schemas.microsoft.com/office/drawing/2014/main" id="{00000000-0008-0000-0800-0000F8110300}"/>
              </a:ext>
            </a:extLst>
          </xdr:cNvPr>
          <xdr:cNvSpPr>
            <a:spLocks/>
          </xdr:cNvSpPr>
        </xdr:nvSpPr>
        <xdr:spPr bwMode="auto">
          <a:xfrm>
            <a:off x="1920" y="1286"/>
            <a:ext cx="245" cy="60"/>
          </a:xfrm>
          <a:custGeom>
            <a:avLst/>
            <a:gdLst>
              <a:gd name="T0" fmla="*/ 0 w 245"/>
              <a:gd name="T1" fmla="*/ 22 h 60"/>
              <a:gd name="T2" fmla="*/ 22 w 245"/>
              <a:gd name="T3" fmla="*/ 20 h 60"/>
              <a:gd name="T4" fmla="*/ 40 w 245"/>
              <a:gd name="T5" fmla="*/ 20 h 60"/>
              <a:gd name="T6" fmla="*/ 54 w 245"/>
              <a:gd name="T7" fmla="*/ 0 h 60"/>
              <a:gd name="T8" fmla="*/ 74 w 245"/>
              <a:gd name="T9" fmla="*/ 30 h 60"/>
              <a:gd name="T10" fmla="*/ 156 w 245"/>
              <a:gd name="T11" fmla="*/ 32 h 60"/>
              <a:gd name="T12" fmla="*/ 162 w 245"/>
              <a:gd name="T13" fmla="*/ 60 h 60"/>
              <a:gd name="T14" fmla="*/ 244 w 245"/>
              <a:gd name="T15" fmla="*/ 60 h 60"/>
              <a:gd name="T16" fmla="*/ 245 w 245"/>
              <a:gd name="T17" fmla="*/ 3 h 60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w 245"/>
              <a:gd name="T28" fmla="*/ 0 h 60"/>
              <a:gd name="T29" fmla="*/ 245 w 245"/>
              <a:gd name="T30" fmla="*/ 60 h 60"/>
            </a:gdLst>
            <a:ahLst/>
            <a:cxnLst>
              <a:cxn ang="T18">
                <a:pos x="T0" y="T1"/>
              </a:cxn>
              <a:cxn ang="T19">
                <a:pos x="T2" y="T3"/>
              </a:cxn>
              <a:cxn ang="T20">
                <a:pos x="T4" y="T5"/>
              </a:cxn>
              <a:cxn ang="T21">
                <a:pos x="T6" y="T7"/>
              </a:cxn>
              <a:cxn ang="T22">
                <a:pos x="T8" y="T9"/>
              </a:cxn>
              <a:cxn ang="T23">
                <a:pos x="T10" y="T11"/>
              </a:cxn>
              <a:cxn ang="T24">
                <a:pos x="T12" y="T13"/>
              </a:cxn>
              <a:cxn ang="T25">
                <a:pos x="T14" y="T15"/>
              </a:cxn>
              <a:cxn ang="T26">
                <a:pos x="T16" y="T17"/>
              </a:cxn>
            </a:cxnLst>
            <a:rect l="T27" t="T28" r="T29" b="T30"/>
            <a:pathLst>
              <a:path w="245" h="60">
                <a:moveTo>
                  <a:pt x="0" y="22"/>
                </a:moveTo>
                <a:lnTo>
                  <a:pt x="22" y="20"/>
                </a:lnTo>
                <a:lnTo>
                  <a:pt x="40" y="20"/>
                </a:lnTo>
                <a:lnTo>
                  <a:pt x="54" y="0"/>
                </a:lnTo>
                <a:lnTo>
                  <a:pt x="74" y="30"/>
                </a:lnTo>
                <a:lnTo>
                  <a:pt x="156" y="32"/>
                </a:lnTo>
                <a:lnTo>
                  <a:pt x="162" y="60"/>
                </a:lnTo>
                <a:lnTo>
                  <a:pt x="244" y="60"/>
                </a:lnTo>
                <a:lnTo>
                  <a:pt x="245" y="3"/>
                </a:lnTo>
              </a:path>
            </a:pathLst>
          </a:custGeom>
          <a:noFill/>
          <a:ln w="9525" cap="flat" cmpd="sng">
            <a:solidFill>
              <a:srgbClr val="333399"/>
            </a:solidFill>
            <a:prstDash val="sysDot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1209" name="Freeform 2033">
            <a:extLst>
              <a:ext uri="{FF2B5EF4-FFF2-40B4-BE49-F238E27FC236}">
                <a16:creationId xmlns:a16="http://schemas.microsoft.com/office/drawing/2014/main" id="{00000000-0008-0000-0800-0000F9110300}"/>
              </a:ext>
            </a:extLst>
          </xdr:cNvPr>
          <xdr:cNvSpPr>
            <a:spLocks/>
          </xdr:cNvSpPr>
        </xdr:nvSpPr>
        <xdr:spPr bwMode="auto">
          <a:xfrm>
            <a:off x="1202" y="1014"/>
            <a:ext cx="484" cy="44"/>
          </a:xfrm>
          <a:custGeom>
            <a:avLst/>
            <a:gdLst>
              <a:gd name="T0" fmla="*/ 0 w 484"/>
              <a:gd name="T1" fmla="*/ 0 h 44"/>
              <a:gd name="T2" fmla="*/ 230 w 484"/>
              <a:gd name="T3" fmla="*/ 2 h 44"/>
              <a:gd name="T4" fmla="*/ 231 w 484"/>
              <a:gd name="T5" fmla="*/ 44 h 44"/>
              <a:gd name="T6" fmla="*/ 484 w 484"/>
              <a:gd name="T7" fmla="*/ 42 h 44"/>
              <a:gd name="T8" fmla="*/ 0 60000 65536"/>
              <a:gd name="T9" fmla="*/ 0 60000 65536"/>
              <a:gd name="T10" fmla="*/ 0 60000 65536"/>
              <a:gd name="T11" fmla="*/ 0 60000 65536"/>
              <a:gd name="T12" fmla="*/ 0 w 484"/>
              <a:gd name="T13" fmla="*/ 0 h 44"/>
              <a:gd name="T14" fmla="*/ 484 w 484"/>
              <a:gd name="T15" fmla="*/ 44 h 44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484" h="44">
                <a:moveTo>
                  <a:pt x="0" y="0"/>
                </a:moveTo>
                <a:lnTo>
                  <a:pt x="230" y="2"/>
                </a:lnTo>
                <a:lnTo>
                  <a:pt x="231" y="44"/>
                </a:lnTo>
                <a:lnTo>
                  <a:pt x="484" y="42"/>
                </a:lnTo>
              </a:path>
            </a:pathLst>
          </a:custGeom>
          <a:noFill/>
          <a:ln w="9525" cap="flat" cmpd="sng">
            <a:solidFill>
              <a:srgbClr val="333399"/>
            </a:solidFill>
            <a:prstDash val="sysDot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1210" name="Freeform 2034">
            <a:extLst>
              <a:ext uri="{FF2B5EF4-FFF2-40B4-BE49-F238E27FC236}">
                <a16:creationId xmlns:a16="http://schemas.microsoft.com/office/drawing/2014/main" id="{00000000-0008-0000-0800-0000FA110300}"/>
              </a:ext>
            </a:extLst>
          </xdr:cNvPr>
          <xdr:cNvSpPr>
            <a:spLocks/>
          </xdr:cNvSpPr>
        </xdr:nvSpPr>
        <xdr:spPr bwMode="auto">
          <a:xfrm>
            <a:off x="1913" y="1337"/>
            <a:ext cx="1" cy="198"/>
          </a:xfrm>
          <a:custGeom>
            <a:avLst/>
            <a:gdLst>
              <a:gd name="T0" fmla="*/ 0 w 1"/>
              <a:gd name="T1" fmla="*/ 0 h 198"/>
              <a:gd name="T2" fmla="*/ 0 w 1"/>
              <a:gd name="T3" fmla="*/ 198 h 198"/>
              <a:gd name="T4" fmla="*/ 0 60000 65536"/>
              <a:gd name="T5" fmla="*/ 0 60000 65536"/>
              <a:gd name="T6" fmla="*/ 0 w 1"/>
              <a:gd name="T7" fmla="*/ 0 h 198"/>
              <a:gd name="T8" fmla="*/ 1 w 1"/>
              <a:gd name="T9" fmla="*/ 198 h 198"/>
            </a:gdLst>
            <a:ahLst/>
            <a:cxnLst>
              <a:cxn ang="T4">
                <a:pos x="T0" y="T1"/>
              </a:cxn>
              <a:cxn ang="T5">
                <a:pos x="T2" y="T3"/>
              </a:cxn>
            </a:cxnLst>
            <a:rect l="T6" t="T7" r="T8" b="T9"/>
            <a:pathLst>
              <a:path w="1" h="198">
                <a:moveTo>
                  <a:pt x="0" y="0"/>
                </a:moveTo>
                <a:lnTo>
                  <a:pt x="0" y="198"/>
                </a:lnTo>
              </a:path>
            </a:pathLst>
          </a:custGeom>
          <a:noFill/>
          <a:ln w="9525" cap="flat" cmpd="sng">
            <a:solidFill>
              <a:srgbClr val="333399"/>
            </a:solidFill>
            <a:prstDash val="sysDot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1211" name="Freeform 2035">
            <a:extLst>
              <a:ext uri="{FF2B5EF4-FFF2-40B4-BE49-F238E27FC236}">
                <a16:creationId xmlns:a16="http://schemas.microsoft.com/office/drawing/2014/main" id="{00000000-0008-0000-0800-0000FB110300}"/>
              </a:ext>
            </a:extLst>
          </xdr:cNvPr>
          <xdr:cNvSpPr>
            <a:spLocks/>
          </xdr:cNvSpPr>
        </xdr:nvSpPr>
        <xdr:spPr bwMode="auto">
          <a:xfrm>
            <a:off x="3740" y="1839"/>
            <a:ext cx="204" cy="119"/>
          </a:xfrm>
          <a:custGeom>
            <a:avLst/>
            <a:gdLst>
              <a:gd name="T0" fmla="*/ 0 w 204"/>
              <a:gd name="T1" fmla="*/ 0 h 119"/>
              <a:gd name="T2" fmla="*/ 26 w 204"/>
              <a:gd name="T3" fmla="*/ 1 h 119"/>
              <a:gd name="T4" fmla="*/ 28 w 204"/>
              <a:gd name="T5" fmla="*/ 31 h 119"/>
              <a:gd name="T6" fmla="*/ 14 w 204"/>
              <a:gd name="T7" fmla="*/ 31 h 119"/>
              <a:gd name="T8" fmla="*/ 14 w 204"/>
              <a:gd name="T9" fmla="*/ 51 h 119"/>
              <a:gd name="T10" fmla="*/ 28 w 204"/>
              <a:gd name="T11" fmla="*/ 49 h 119"/>
              <a:gd name="T12" fmla="*/ 30 w 204"/>
              <a:gd name="T13" fmla="*/ 89 h 119"/>
              <a:gd name="T14" fmla="*/ 128 w 204"/>
              <a:gd name="T15" fmla="*/ 89 h 119"/>
              <a:gd name="T16" fmla="*/ 132 w 204"/>
              <a:gd name="T17" fmla="*/ 105 h 119"/>
              <a:gd name="T18" fmla="*/ 164 w 204"/>
              <a:gd name="T19" fmla="*/ 105 h 119"/>
              <a:gd name="T20" fmla="*/ 166 w 204"/>
              <a:gd name="T21" fmla="*/ 119 h 119"/>
              <a:gd name="T22" fmla="*/ 204 w 204"/>
              <a:gd name="T23" fmla="*/ 119 h 119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w 204"/>
              <a:gd name="T37" fmla="*/ 0 h 119"/>
              <a:gd name="T38" fmla="*/ 204 w 204"/>
              <a:gd name="T39" fmla="*/ 119 h 119"/>
            </a:gdLst>
            <a:ahLst/>
            <a:cxnLst>
              <a:cxn ang="T24">
                <a:pos x="T0" y="T1"/>
              </a:cxn>
              <a:cxn ang="T25">
                <a:pos x="T2" y="T3"/>
              </a:cxn>
              <a:cxn ang="T26">
                <a:pos x="T4" y="T5"/>
              </a:cxn>
              <a:cxn ang="T27">
                <a:pos x="T6" y="T7"/>
              </a:cxn>
              <a:cxn ang="T28">
                <a:pos x="T8" y="T9"/>
              </a:cxn>
              <a:cxn ang="T29">
                <a:pos x="T10" y="T11"/>
              </a:cxn>
              <a:cxn ang="T30">
                <a:pos x="T12" y="T13"/>
              </a:cxn>
              <a:cxn ang="T31">
                <a:pos x="T14" y="T15"/>
              </a:cxn>
              <a:cxn ang="T32">
                <a:pos x="T16" y="T17"/>
              </a:cxn>
              <a:cxn ang="T33">
                <a:pos x="T18" y="T19"/>
              </a:cxn>
              <a:cxn ang="T34">
                <a:pos x="T20" y="T21"/>
              </a:cxn>
              <a:cxn ang="T35">
                <a:pos x="T22" y="T23"/>
              </a:cxn>
            </a:cxnLst>
            <a:rect l="T36" t="T37" r="T38" b="T39"/>
            <a:pathLst>
              <a:path w="204" h="119">
                <a:moveTo>
                  <a:pt x="0" y="0"/>
                </a:moveTo>
                <a:lnTo>
                  <a:pt x="26" y="1"/>
                </a:lnTo>
                <a:lnTo>
                  <a:pt x="28" y="31"/>
                </a:lnTo>
                <a:lnTo>
                  <a:pt x="14" y="31"/>
                </a:lnTo>
                <a:lnTo>
                  <a:pt x="14" y="51"/>
                </a:lnTo>
                <a:lnTo>
                  <a:pt x="28" y="49"/>
                </a:lnTo>
                <a:lnTo>
                  <a:pt x="30" y="89"/>
                </a:lnTo>
                <a:lnTo>
                  <a:pt x="128" y="89"/>
                </a:lnTo>
                <a:cubicBezTo>
                  <a:pt x="129" y="94"/>
                  <a:pt x="132" y="105"/>
                  <a:pt x="132" y="105"/>
                </a:cubicBezTo>
                <a:lnTo>
                  <a:pt x="164" y="105"/>
                </a:lnTo>
                <a:lnTo>
                  <a:pt x="166" y="119"/>
                </a:lnTo>
                <a:lnTo>
                  <a:pt x="204" y="119"/>
                </a:lnTo>
              </a:path>
            </a:pathLst>
          </a:custGeom>
          <a:noFill/>
          <a:ln w="9525" cap="flat" cmpd="sng">
            <a:solidFill>
              <a:srgbClr val="333399"/>
            </a:solidFill>
            <a:prstDash val="sysDot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1212" name="Freeform 2036">
            <a:extLst>
              <a:ext uri="{FF2B5EF4-FFF2-40B4-BE49-F238E27FC236}">
                <a16:creationId xmlns:a16="http://schemas.microsoft.com/office/drawing/2014/main" id="{00000000-0008-0000-0800-0000FC110300}"/>
              </a:ext>
            </a:extLst>
          </xdr:cNvPr>
          <xdr:cNvSpPr>
            <a:spLocks/>
          </xdr:cNvSpPr>
        </xdr:nvSpPr>
        <xdr:spPr bwMode="auto">
          <a:xfrm>
            <a:off x="3652" y="1934"/>
            <a:ext cx="84" cy="163"/>
          </a:xfrm>
          <a:custGeom>
            <a:avLst/>
            <a:gdLst>
              <a:gd name="T0" fmla="*/ 84 w 84"/>
              <a:gd name="T1" fmla="*/ 0 h 163"/>
              <a:gd name="T2" fmla="*/ 23 w 84"/>
              <a:gd name="T3" fmla="*/ 0 h 163"/>
              <a:gd name="T4" fmla="*/ 24 w 84"/>
              <a:gd name="T5" fmla="*/ 74 h 163"/>
              <a:gd name="T6" fmla="*/ 0 w 84"/>
              <a:gd name="T7" fmla="*/ 74 h 163"/>
              <a:gd name="T8" fmla="*/ 1 w 84"/>
              <a:gd name="T9" fmla="*/ 163 h 163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  <a:gd name="T15" fmla="*/ 0 w 84"/>
              <a:gd name="T16" fmla="*/ 0 h 163"/>
              <a:gd name="T17" fmla="*/ 84 w 84"/>
              <a:gd name="T18" fmla="*/ 163 h 163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T15" t="T16" r="T17" b="T18"/>
            <a:pathLst>
              <a:path w="84" h="163">
                <a:moveTo>
                  <a:pt x="84" y="0"/>
                </a:moveTo>
                <a:lnTo>
                  <a:pt x="23" y="0"/>
                </a:lnTo>
                <a:lnTo>
                  <a:pt x="24" y="74"/>
                </a:lnTo>
                <a:lnTo>
                  <a:pt x="0" y="74"/>
                </a:lnTo>
                <a:lnTo>
                  <a:pt x="1" y="163"/>
                </a:lnTo>
              </a:path>
            </a:pathLst>
          </a:custGeom>
          <a:noFill/>
          <a:ln w="9525" cap="flat" cmpd="sng">
            <a:solidFill>
              <a:srgbClr val="333399"/>
            </a:solidFill>
            <a:prstDash val="sysDot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1213" name="Freeform 2037">
            <a:extLst>
              <a:ext uri="{FF2B5EF4-FFF2-40B4-BE49-F238E27FC236}">
                <a16:creationId xmlns:a16="http://schemas.microsoft.com/office/drawing/2014/main" id="{00000000-0008-0000-0800-0000FD110300}"/>
              </a:ext>
            </a:extLst>
          </xdr:cNvPr>
          <xdr:cNvSpPr>
            <a:spLocks/>
          </xdr:cNvSpPr>
        </xdr:nvSpPr>
        <xdr:spPr bwMode="auto">
          <a:xfrm>
            <a:off x="3590" y="2061"/>
            <a:ext cx="354" cy="153"/>
          </a:xfrm>
          <a:custGeom>
            <a:avLst/>
            <a:gdLst>
              <a:gd name="T0" fmla="*/ 0 w 354"/>
              <a:gd name="T1" fmla="*/ 67 h 153"/>
              <a:gd name="T2" fmla="*/ 18 w 354"/>
              <a:gd name="T3" fmla="*/ 87 h 153"/>
              <a:gd name="T4" fmla="*/ 34 w 354"/>
              <a:gd name="T5" fmla="*/ 89 h 153"/>
              <a:gd name="T6" fmla="*/ 38 w 354"/>
              <a:gd name="T7" fmla="*/ 109 h 153"/>
              <a:gd name="T8" fmla="*/ 116 w 354"/>
              <a:gd name="T9" fmla="*/ 109 h 153"/>
              <a:gd name="T10" fmla="*/ 134 w 354"/>
              <a:gd name="T11" fmla="*/ 115 h 153"/>
              <a:gd name="T12" fmla="*/ 140 w 354"/>
              <a:gd name="T13" fmla="*/ 153 h 153"/>
              <a:gd name="T14" fmla="*/ 166 w 354"/>
              <a:gd name="T15" fmla="*/ 143 h 153"/>
              <a:gd name="T16" fmla="*/ 190 w 354"/>
              <a:gd name="T17" fmla="*/ 141 h 153"/>
              <a:gd name="T18" fmla="*/ 186 w 354"/>
              <a:gd name="T19" fmla="*/ 111 h 153"/>
              <a:gd name="T20" fmla="*/ 170 w 354"/>
              <a:gd name="T21" fmla="*/ 99 h 153"/>
              <a:gd name="T22" fmla="*/ 196 w 354"/>
              <a:gd name="T23" fmla="*/ 93 h 153"/>
              <a:gd name="T24" fmla="*/ 194 w 354"/>
              <a:gd name="T25" fmla="*/ 11 h 153"/>
              <a:gd name="T26" fmla="*/ 246 w 354"/>
              <a:gd name="T27" fmla="*/ 11 h 153"/>
              <a:gd name="T28" fmla="*/ 270 w 354"/>
              <a:gd name="T29" fmla="*/ 15 h 153"/>
              <a:gd name="T30" fmla="*/ 302 w 354"/>
              <a:gd name="T31" fmla="*/ 41 h 153"/>
              <a:gd name="T32" fmla="*/ 328 w 354"/>
              <a:gd name="T33" fmla="*/ 43 h 153"/>
              <a:gd name="T34" fmla="*/ 342 w 354"/>
              <a:gd name="T35" fmla="*/ 23 h 153"/>
              <a:gd name="T36" fmla="*/ 344 w 354"/>
              <a:gd name="T37" fmla="*/ 1 h 153"/>
              <a:gd name="T38" fmla="*/ 354 w 354"/>
              <a:gd name="T39" fmla="*/ 0 h 153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w 354"/>
              <a:gd name="T61" fmla="*/ 0 h 153"/>
              <a:gd name="T62" fmla="*/ 354 w 354"/>
              <a:gd name="T63" fmla="*/ 153 h 153"/>
            </a:gdLst>
            <a:ahLst/>
            <a:cxnLst>
              <a:cxn ang="T40">
                <a:pos x="T0" y="T1"/>
              </a:cxn>
              <a:cxn ang="T41">
                <a:pos x="T2" y="T3"/>
              </a:cxn>
              <a:cxn ang="T42">
                <a:pos x="T4" y="T5"/>
              </a:cxn>
              <a:cxn ang="T43">
                <a:pos x="T6" y="T7"/>
              </a:cxn>
              <a:cxn ang="T44">
                <a:pos x="T8" y="T9"/>
              </a:cxn>
              <a:cxn ang="T45">
                <a:pos x="T10" y="T11"/>
              </a:cxn>
              <a:cxn ang="T46">
                <a:pos x="T12" y="T13"/>
              </a:cxn>
              <a:cxn ang="T47">
                <a:pos x="T14" y="T15"/>
              </a:cxn>
              <a:cxn ang="T48">
                <a:pos x="T16" y="T17"/>
              </a:cxn>
              <a:cxn ang="T49">
                <a:pos x="T18" y="T19"/>
              </a:cxn>
              <a:cxn ang="T50">
                <a:pos x="T20" y="T21"/>
              </a:cxn>
              <a:cxn ang="T51">
                <a:pos x="T22" y="T23"/>
              </a:cxn>
              <a:cxn ang="T52">
                <a:pos x="T24" y="T25"/>
              </a:cxn>
              <a:cxn ang="T53">
                <a:pos x="T26" y="T27"/>
              </a:cxn>
              <a:cxn ang="T54">
                <a:pos x="T28" y="T29"/>
              </a:cxn>
              <a:cxn ang="T55">
                <a:pos x="T30" y="T31"/>
              </a:cxn>
              <a:cxn ang="T56">
                <a:pos x="T32" y="T33"/>
              </a:cxn>
              <a:cxn ang="T57">
                <a:pos x="T34" y="T35"/>
              </a:cxn>
              <a:cxn ang="T58">
                <a:pos x="T36" y="T37"/>
              </a:cxn>
              <a:cxn ang="T59">
                <a:pos x="T38" y="T39"/>
              </a:cxn>
            </a:cxnLst>
            <a:rect l="T60" t="T61" r="T62" b="T63"/>
            <a:pathLst>
              <a:path w="354" h="153">
                <a:moveTo>
                  <a:pt x="0" y="67"/>
                </a:moveTo>
                <a:lnTo>
                  <a:pt x="18" y="87"/>
                </a:lnTo>
                <a:lnTo>
                  <a:pt x="34" y="89"/>
                </a:lnTo>
                <a:lnTo>
                  <a:pt x="38" y="109"/>
                </a:lnTo>
                <a:lnTo>
                  <a:pt x="116" y="109"/>
                </a:lnTo>
                <a:lnTo>
                  <a:pt x="134" y="115"/>
                </a:lnTo>
                <a:lnTo>
                  <a:pt x="140" y="153"/>
                </a:lnTo>
                <a:lnTo>
                  <a:pt x="166" y="143"/>
                </a:lnTo>
                <a:lnTo>
                  <a:pt x="190" y="141"/>
                </a:lnTo>
                <a:lnTo>
                  <a:pt x="186" y="111"/>
                </a:lnTo>
                <a:lnTo>
                  <a:pt x="170" y="99"/>
                </a:lnTo>
                <a:lnTo>
                  <a:pt x="196" y="93"/>
                </a:lnTo>
                <a:lnTo>
                  <a:pt x="194" y="11"/>
                </a:lnTo>
                <a:lnTo>
                  <a:pt x="246" y="11"/>
                </a:lnTo>
                <a:lnTo>
                  <a:pt x="270" y="15"/>
                </a:lnTo>
                <a:lnTo>
                  <a:pt x="302" y="41"/>
                </a:lnTo>
                <a:lnTo>
                  <a:pt x="328" y="43"/>
                </a:lnTo>
                <a:lnTo>
                  <a:pt x="342" y="23"/>
                </a:lnTo>
                <a:lnTo>
                  <a:pt x="344" y="1"/>
                </a:lnTo>
                <a:cubicBezTo>
                  <a:pt x="348" y="0"/>
                  <a:pt x="352" y="0"/>
                  <a:pt x="354" y="0"/>
                </a:cubicBezTo>
              </a:path>
            </a:pathLst>
          </a:custGeom>
          <a:noFill/>
          <a:ln w="9525" cap="flat" cmpd="sng">
            <a:solidFill>
              <a:srgbClr val="333399"/>
            </a:solidFill>
            <a:prstDash val="sysDot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1214" name="Freeform 2038">
            <a:extLst>
              <a:ext uri="{FF2B5EF4-FFF2-40B4-BE49-F238E27FC236}">
                <a16:creationId xmlns:a16="http://schemas.microsoft.com/office/drawing/2014/main" id="{00000000-0008-0000-0800-0000FE110300}"/>
              </a:ext>
            </a:extLst>
          </xdr:cNvPr>
          <xdr:cNvSpPr>
            <a:spLocks/>
          </xdr:cNvSpPr>
        </xdr:nvSpPr>
        <xdr:spPr bwMode="auto">
          <a:xfrm>
            <a:off x="3648" y="2169"/>
            <a:ext cx="154" cy="373"/>
          </a:xfrm>
          <a:custGeom>
            <a:avLst/>
            <a:gdLst>
              <a:gd name="T0" fmla="*/ 57 w 154"/>
              <a:gd name="T1" fmla="*/ 0 h 373"/>
              <a:gd name="T2" fmla="*/ 56 w 154"/>
              <a:gd name="T3" fmla="*/ 69 h 373"/>
              <a:gd name="T4" fmla="*/ 4 w 154"/>
              <a:gd name="T5" fmla="*/ 69 h 373"/>
              <a:gd name="T6" fmla="*/ 0 w 154"/>
              <a:gd name="T7" fmla="*/ 203 h 373"/>
              <a:gd name="T8" fmla="*/ 18 w 154"/>
              <a:gd name="T9" fmla="*/ 194 h 373"/>
              <a:gd name="T10" fmla="*/ 11 w 154"/>
              <a:gd name="T11" fmla="*/ 185 h 373"/>
              <a:gd name="T12" fmla="*/ 46 w 154"/>
              <a:gd name="T13" fmla="*/ 181 h 373"/>
              <a:gd name="T14" fmla="*/ 58 w 154"/>
              <a:gd name="T15" fmla="*/ 189 h 373"/>
              <a:gd name="T16" fmla="*/ 62 w 154"/>
              <a:gd name="T17" fmla="*/ 203 h 373"/>
              <a:gd name="T18" fmla="*/ 62 w 154"/>
              <a:gd name="T19" fmla="*/ 263 h 373"/>
              <a:gd name="T20" fmla="*/ 28 w 154"/>
              <a:gd name="T21" fmla="*/ 263 h 373"/>
              <a:gd name="T22" fmla="*/ 20 w 154"/>
              <a:gd name="T23" fmla="*/ 335 h 373"/>
              <a:gd name="T24" fmla="*/ 28 w 154"/>
              <a:gd name="T25" fmla="*/ 349 h 373"/>
              <a:gd name="T26" fmla="*/ 32 w 154"/>
              <a:gd name="T27" fmla="*/ 373 h 373"/>
              <a:gd name="T28" fmla="*/ 82 w 154"/>
              <a:gd name="T29" fmla="*/ 371 h 373"/>
              <a:gd name="T30" fmla="*/ 84 w 154"/>
              <a:gd name="T31" fmla="*/ 345 h 373"/>
              <a:gd name="T32" fmla="*/ 116 w 154"/>
              <a:gd name="T33" fmla="*/ 347 h 373"/>
              <a:gd name="T34" fmla="*/ 138 w 154"/>
              <a:gd name="T35" fmla="*/ 355 h 373"/>
              <a:gd name="T36" fmla="*/ 152 w 154"/>
              <a:gd name="T37" fmla="*/ 355 h 373"/>
              <a:gd name="T38" fmla="*/ 154 w 154"/>
              <a:gd name="T39" fmla="*/ 357 h 373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w 154"/>
              <a:gd name="T61" fmla="*/ 0 h 373"/>
              <a:gd name="T62" fmla="*/ 154 w 154"/>
              <a:gd name="T63" fmla="*/ 373 h 373"/>
            </a:gdLst>
            <a:ahLst/>
            <a:cxnLst>
              <a:cxn ang="T40">
                <a:pos x="T0" y="T1"/>
              </a:cxn>
              <a:cxn ang="T41">
                <a:pos x="T2" y="T3"/>
              </a:cxn>
              <a:cxn ang="T42">
                <a:pos x="T4" y="T5"/>
              </a:cxn>
              <a:cxn ang="T43">
                <a:pos x="T6" y="T7"/>
              </a:cxn>
              <a:cxn ang="T44">
                <a:pos x="T8" y="T9"/>
              </a:cxn>
              <a:cxn ang="T45">
                <a:pos x="T10" y="T11"/>
              </a:cxn>
              <a:cxn ang="T46">
                <a:pos x="T12" y="T13"/>
              </a:cxn>
              <a:cxn ang="T47">
                <a:pos x="T14" y="T15"/>
              </a:cxn>
              <a:cxn ang="T48">
                <a:pos x="T16" y="T17"/>
              </a:cxn>
              <a:cxn ang="T49">
                <a:pos x="T18" y="T19"/>
              </a:cxn>
              <a:cxn ang="T50">
                <a:pos x="T20" y="T21"/>
              </a:cxn>
              <a:cxn ang="T51">
                <a:pos x="T22" y="T23"/>
              </a:cxn>
              <a:cxn ang="T52">
                <a:pos x="T24" y="T25"/>
              </a:cxn>
              <a:cxn ang="T53">
                <a:pos x="T26" y="T27"/>
              </a:cxn>
              <a:cxn ang="T54">
                <a:pos x="T28" y="T29"/>
              </a:cxn>
              <a:cxn ang="T55">
                <a:pos x="T30" y="T31"/>
              </a:cxn>
              <a:cxn ang="T56">
                <a:pos x="T32" y="T33"/>
              </a:cxn>
              <a:cxn ang="T57">
                <a:pos x="T34" y="T35"/>
              </a:cxn>
              <a:cxn ang="T58">
                <a:pos x="T36" y="T37"/>
              </a:cxn>
              <a:cxn ang="T59">
                <a:pos x="T38" y="T39"/>
              </a:cxn>
            </a:cxnLst>
            <a:rect l="T60" t="T61" r="T62" b="T63"/>
            <a:pathLst>
              <a:path w="154" h="373">
                <a:moveTo>
                  <a:pt x="57" y="0"/>
                </a:moveTo>
                <a:lnTo>
                  <a:pt x="56" y="69"/>
                </a:lnTo>
                <a:lnTo>
                  <a:pt x="4" y="69"/>
                </a:lnTo>
                <a:lnTo>
                  <a:pt x="0" y="203"/>
                </a:lnTo>
                <a:lnTo>
                  <a:pt x="18" y="194"/>
                </a:lnTo>
                <a:lnTo>
                  <a:pt x="11" y="185"/>
                </a:lnTo>
                <a:lnTo>
                  <a:pt x="46" y="181"/>
                </a:lnTo>
                <a:lnTo>
                  <a:pt x="58" y="189"/>
                </a:lnTo>
                <a:lnTo>
                  <a:pt x="62" y="203"/>
                </a:lnTo>
                <a:cubicBezTo>
                  <a:pt x="62" y="223"/>
                  <a:pt x="62" y="243"/>
                  <a:pt x="62" y="263"/>
                </a:cubicBezTo>
                <a:cubicBezTo>
                  <a:pt x="51" y="263"/>
                  <a:pt x="39" y="263"/>
                  <a:pt x="28" y="263"/>
                </a:cubicBezTo>
                <a:lnTo>
                  <a:pt x="20" y="335"/>
                </a:lnTo>
                <a:lnTo>
                  <a:pt x="28" y="349"/>
                </a:lnTo>
                <a:lnTo>
                  <a:pt x="32" y="373"/>
                </a:lnTo>
                <a:lnTo>
                  <a:pt x="82" y="371"/>
                </a:lnTo>
                <a:lnTo>
                  <a:pt x="84" y="345"/>
                </a:lnTo>
                <a:lnTo>
                  <a:pt x="116" y="347"/>
                </a:lnTo>
                <a:cubicBezTo>
                  <a:pt x="139" y="357"/>
                  <a:pt x="138" y="365"/>
                  <a:pt x="138" y="355"/>
                </a:cubicBezTo>
                <a:lnTo>
                  <a:pt x="152" y="355"/>
                </a:lnTo>
                <a:lnTo>
                  <a:pt x="154" y="357"/>
                </a:lnTo>
              </a:path>
            </a:pathLst>
          </a:custGeom>
          <a:noFill/>
          <a:ln w="9525" cap="flat" cmpd="sng">
            <a:solidFill>
              <a:srgbClr val="333399"/>
            </a:solidFill>
            <a:prstDash val="sysDot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1215" name="Freeform 2039">
            <a:extLst>
              <a:ext uri="{FF2B5EF4-FFF2-40B4-BE49-F238E27FC236}">
                <a16:creationId xmlns:a16="http://schemas.microsoft.com/office/drawing/2014/main" id="{00000000-0008-0000-0800-0000FF110300}"/>
              </a:ext>
            </a:extLst>
          </xdr:cNvPr>
          <xdr:cNvSpPr>
            <a:spLocks/>
          </xdr:cNvSpPr>
        </xdr:nvSpPr>
        <xdr:spPr bwMode="auto">
          <a:xfrm>
            <a:off x="3288" y="2520"/>
            <a:ext cx="264" cy="210"/>
          </a:xfrm>
          <a:custGeom>
            <a:avLst/>
            <a:gdLst>
              <a:gd name="T0" fmla="*/ 0 w 264"/>
              <a:gd name="T1" fmla="*/ 41 h 210"/>
              <a:gd name="T2" fmla="*/ 36 w 264"/>
              <a:gd name="T3" fmla="*/ 0 h 210"/>
              <a:gd name="T4" fmla="*/ 50 w 264"/>
              <a:gd name="T5" fmla="*/ 0 h 210"/>
              <a:gd name="T6" fmla="*/ 56 w 264"/>
              <a:gd name="T7" fmla="*/ 18 h 210"/>
              <a:gd name="T8" fmla="*/ 86 w 264"/>
              <a:gd name="T9" fmla="*/ 20 h 210"/>
              <a:gd name="T10" fmla="*/ 96 w 264"/>
              <a:gd name="T11" fmla="*/ 40 h 210"/>
              <a:gd name="T12" fmla="*/ 104 w 264"/>
              <a:gd name="T13" fmla="*/ 66 h 210"/>
              <a:gd name="T14" fmla="*/ 128 w 264"/>
              <a:gd name="T15" fmla="*/ 66 h 210"/>
              <a:gd name="T16" fmla="*/ 132 w 264"/>
              <a:gd name="T17" fmla="*/ 84 h 210"/>
              <a:gd name="T18" fmla="*/ 200 w 264"/>
              <a:gd name="T19" fmla="*/ 82 h 210"/>
              <a:gd name="T20" fmla="*/ 208 w 264"/>
              <a:gd name="T21" fmla="*/ 94 h 210"/>
              <a:gd name="T22" fmla="*/ 226 w 264"/>
              <a:gd name="T23" fmla="*/ 86 h 210"/>
              <a:gd name="T24" fmla="*/ 232 w 264"/>
              <a:gd name="T25" fmla="*/ 134 h 210"/>
              <a:gd name="T26" fmla="*/ 260 w 264"/>
              <a:gd name="T27" fmla="*/ 138 h 210"/>
              <a:gd name="T28" fmla="*/ 264 w 264"/>
              <a:gd name="T29" fmla="*/ 210 h 210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w 264"/>
              <a:gd name="T46" fmla="*/ 0 h 210"/>
              <a:gd name="T47" fmla="*/ 264 w 264"/>
              <a:gd name="T48" fmla="*/ 210 h 210"/>
            </a:gdLst>
            <a:ahLst/>
            <a:cxnLst>
              <a:cxn ang="T30">
                <a:pos x="T0" y="T1"/>
              </a:cxn>
              <a:cxn ang="T31">
                <a:pos x="T2" y="T3"/>
              </a:cxn>
              <a:cxn ang="T32">
                <a:pos x="T4" y="T5"/>
              </a:cxn>
              <a:cxn ang="T33">
                <a:pos x="T6" y="T7"/>
              </a:cxn>
              <a:cxn ang="T34">
                <a:pos x="T8" y="T9"/>
              </a:cxn>
              <a:cxn ang="T35">
                <a:pos x="T10" y="T11"/>
              </a:cxn>
              <a:cxn ang="T36">
                <a:pos x="T12" y="T13"/>
              </a:cxn>
              <a:cxn ang="T37">
                <a:pos x="T14" y="T15"/>
              </a:cxn>
              <a:cxn ang="T38">
                <a:pos x="T16" y="T17"/>
              </a:cxn>
              <a:cxn ang="T39">
                <a:pos x="T18" y="T19"/>
              </a:cxn>
              <a:cxn ang="T40">
                <a:pos x="T20" y="T21"/>
              </a:cxn>
              <a:cxn ang="T41">
                <a:pos x="T22" y="T23"/>
              </a:cxn>
              <a:cxn ang="T42">
                <a:pos x="T24" y="T25"/>
              </a:cxn>
              <a:cxn ang="T43">
                <a:pos x="T26" y="T27"/>
              </a:cxn>
              <a:cxn ang="T44">
                <a:pos x="T28" y="T29"/>
              </a:cxn>
            </a:cxnLst>
            <a:rect l="T45" t="T46" r="T47" b="T48"/>
            <a:pathLst>
              <a:path w="264" h="210">
                <a:moveTo>
                  <a:pt x="0" y="41"/>
                </a:moveTo>
                <a:lnTo>
                  <a:pt x="36" y="0"/>
                </a:lnTo>
                <a:lnTo>
                  <a:pt x="50" y="0"/>
                </a:lnTo>
                <a:lnTo>
                  <a:pt x="56" y="18"/>
                </a:lnTo>
                <a:lnTo>
                  <a:pt x="86" y="20"/>
                </a:lnTo>
                <a:lnTo>
                  <a:pt x="96" y="40"/>
                </a:lnTo>
                <a:lnTo>
                  <a:pt x="104" y="66"/>
                </a:lnTo>
                <a:lnTo>
                  <a:pt x="128" y="66"/>
                </a:lnTo>
                <a:lnTo>
                  <a:pt x="132" y="84"/>
                </a:lnTo>
                <a:lnTo>
                  <a:pt x="200" y="82"/>
                </a:lnTo>
                <a:lnTo>
                  <a:pt x="208" y="94"/>
                </a:lnTo>
                <a:lnTo>
                  <a:pt x="226" y="86"/>
                </a:lnTo>
                <a:lnTo>
                  <a:pt x="232" y="134"/>
                </a:lnTo>
                <a:lnTo>
                  <a:pt x="260" y="138"/>
                </a:lnTo>
                <a:lnTo>
                  <a:pt x="264" y="210"/>
                </a:lnTo>
              </a:path>
            </a:pathLst>
          </a:custGeom>
          <a:noFill/>
          <a:ln w="9525" cap="flat" cmpd="sng">
            <a:solidFill>
              <a:srgbClr val="333399"/>
            </a:solidFill>
            <a:prstDash val="sysDot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8664" name="Text Box 2040">
            <a:extLst>
              <a:ext uri="{FF2B5EF4-FFF2-40B4-BE49-F238E27FC236}">
                <a16:creationId xmlns:a16="http://schemas.microsoft.com/office/drawing/2014/main" id="{00000000-0008-0000-0800-0000F8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977" y="2866"/>
            <a:ext cx="383" cy="6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7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Fort Sumner</a:t>
            </a: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665" name="Text Box 2041">
            <a:extLst>
              <a:ext uri="{FF2B5EF4-FFF2-40B4-BE49-F238E27FC236}">
                <a16:creationId xmlns:a16="http://schemas.microsoft.com/office/drawing/2014/main" id="{00000000-0008-0000-0800-0000F9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524" y="2955"/>
            <a:ext cx="212" cy="7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7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</a:t>
            </a:r>
            <a:r>
              <a:rPr lang="en-US" sz="6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Melrose</a:t>
            </a: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666" name="Text Box 2042">
            <a:extLst>
              <a:ext uri="{FF2B5EF4-FFF2-40B4-BE49-F238E27FC236}">
                <a16:creationId xmlns:a16="http://schemas.microsoft.com/office/drawing/2014/main" id="{00000000-0008-0000-0800-0000FA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713" y="2967"/>
            <a:ext cx="218" cy="6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7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Texico</a:t>
            </a: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667" name="Text Box 2043">
            <a:extLst>
              <a:ext uri="{FF2B5EF4-FFF2-40B4-BE49-F238E27FC236}">
                <a16:creationId xmlns:a16="http://schemas.microsoft.com/office/drawing/2014/main" id="{00000000-0008-0000-0800-0000FB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719" y="3014"/>
            <a:ext cx="212" cy="7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7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Clovis</a:t>
            </a: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668" name="Text Box 2044">
            <a:extLst>
              <a:ext uri="{FF2B5EF4-FFF2-40B4-BE49-F238E27FC236}">
                <a16:creationId xmlns:a16="http://schemas.microsoft.com/office/drawing/2014/main" id="{00000000-0008-0000-0800-0000FC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625" y="2878"/>
            <a:ext cx="306" cy="11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12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County</a:t>
            </a:r>
            <a:endParaRPr 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01221" name="Line 2045">
            <a:extLst>
              <a:ext uri="{FF2B5EF4-FFF2-40B4-BE49-F238E27FC236}">
                <a16:creationId xmlns:a16="http://schemas.microsoft.com/office/drawing/2014/main" id="{00000000-0008-0000-0800-000005120300}"/>
              </a:ext>
            </a:extLst>
          </xdr:cNvPr>
          <xdr:cNvSpPr>
            <a:spLocks noChangeShapeType="1"/>
          </xdr:cNvSpPr>
        </xdr:nvSpPr>
        <xdr:spPr bwMode="auto">
          <a:xfrm>
            <a:off x="3880" y="2986"/>
            <a:ext cx="68" cy="81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8670" name="Text Box 2046">
            <a:extLst>
              <a:ext uri="{FF2B5EF4-FFF2-40B4-BE49-F238E27FC236}">
                <a16:creationId xmlns:a16="http://schemas.microsoft.com/office/drawing/2014/main" id="{00000000-0008-0000-0800-0000FE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789" y="2795"/>
            <a:ext cx="59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1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671" name="Text Box 2047">
            <a:extLst>
              <a:ext uri="{FF2B5EF4-FFF2-40B4-BE49-F238E27FC236}">
                <a16:creationId xmlns:a16="http://schemas.microsoft.com/office/drawing/2014/main" id="{00000000-0008-0000-0800-0000FF6F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689" y="2641"/>
            <a:ext cx="212" cy="6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7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Grady</a:t>
            </a: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01224" name="Freeform 2048">
            <a:extLst>
              <a:ext uri="{FF2B5EF4-FFF2-40B4-BE49-F238E27FC236}">
                <a16:creationId xmlns:a16="http://schemas.microsoft.com/office/drawing/2014/main" id="{00000000-0008-0000-0800-000008120300}"/>
              </a:ext>
            </a:extLst>
          </xdr:cNvPr>
          <xdr:cNvSpPr>
            <a:spLocks/>
          </xdr:cNvSpPr>
        </xdr:nvSpPr>
        <xdr:spPr bwMode="auto">
          <a:xfrm>
            <a:off x="3512" y="2504"/>
            <a:ext cx="159" cy="100"/>
          </a:xfrm>
          <a:custGeom>
            <a:avLst/>
            <a:gdLst>
              <a:gd name="T0" fmla="*/ 159 w 159"/>
              <a:gd name="T1" fmla="*/ 0 h 100"/>
              <a:gd name="T2" fmla="*/ 138 w 159"/>
              <a:gd name="T3" fmla="*/ 0 h 100"/>
              <a:gd name="T4" fmla="*/ 136 w 159"/>
              <a:gd name="T5" fmla="*/ 54 h 100"/>
              <a:gd name="T6" fmla="*/ 114 w 159"/>
              <a:gd name="T7" fmla="*/ 56 h 100"/>
              <a:gd name="T8" fmla="*/ 112 w 159"/>
              <a:gd name="T9" fmla="*/ 76 h 100"/>
              <a:gd name="T10" fmla="*/ 72 w 159"/>
              <a:gd name="T11" fmla="*/ 74 h 100"/>
              <a:gd name="T12" fmla="*/ 58 w 159"/>
              <a:gd name="T13" fmla="*/ 86 h 100"/>
              <a:gd name="T14" fmla="*/ 22 w 159"/>
              <a:gd name="T15" fmla="*/ 84 h 100"/>
              <a:gd name="T16" fmla="*/ 22 w 159"/>
              <a:gd name="T17" fmla="*/ 100 h 100"/>
              <a:gd name="T18" fmla="*/ 0 w 159"/>
              <a:gd name="T19" fmla="*/ 100 h 100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w 159"/>
              <a:gd name="T31" fmla="*/ 0 h 100"/>
              <a:gd name="T32" fmla="*/ 159 w 159"/>
              <a:gd name="T33" fmla="*/ 100 h 100"/>
            </a:gdLst>
            <a:ahLst/>
            <a:cxnLst>
              <a:cxn ang="T20">
                <a:pos x="T0" y="T1"/>
              </a:cxn>
              <a:cxn ang="T21">
                <a:pos x="T2" y="T3"/>
              </a:cxn>
              <a:cxn ang="T22">
                <a:pos x="T4" y="T5"/>
              </a:cxn>
              <a:cxn ang="T23">
                <a:pos x="T6" y="T7"/>
              </a:cxn>
              <a:cxn ang="T24">
                <a:pos x="T8" y="T9"/>
              </a:cxn>
              <a:cxn ang="T25">
                <a:pos x="T10" y="T11"/>
              </a:cxn>
              <a:cxn ang="T26">
                <a:pos x="T12" y="T13"/>
              </a:cxn>
              <a:cxn ang="T27">
                <a:pos x="T14" y="T15"/>
              </a:cxn>
              <a:cxn ang="T28">
                <a:pos x="T16" y="T17"/>
              </a:cxn>
              <a:cxn ang="T29">
                <a:pos x="T18" y="T19"/>
              </a:cxn>
            </a:cxnLst>
            <a:rect l="T30" t="T31" r="T32" b="T33"/>
            <a:pathLst>
              <a:path w="159" h="100">
                <a:moveTo>
                  <a:pt x="159" y="0"/>
                </a:moveTo>
                <a:lnTo>
                  <a:pt x="138" y="0"/>
                </a:lnTo>
                <a:lnTo>
                  <a:pt x="136" y="54"/>
                </a:lnTo>
                <a:lnTo>
                  <a:pt x="114" y="56"/>
                </a:lnTo>
                <a:lnTo>
                  <a:pt x="112" y="76"/>
                </a:lnTo>
                <a:lnTo>
                  <a:pt x="72" y="74"/>
                </a:lnTo>
                <a:lnTo>
                  <a:pt x="58" y="86"/>
                </a:lnTo>
                <a:lnTo>
                  <a:pt x="22" y="84"/>
                </a:lnTo>
                <a:lnTo>
                  <a:pt x="22" y="100"/>
                </a:lnTo>
                <a:lnTo>
                  <a:pt x="0" y="100"/>
                </a:lnTo>
              </a:path>
            </a:pathLst>
          </a:custGeom>
          <a:noFill/>
          <a:ln w="9525" cap="flat" cmpd="sng">
            <a:solidFill>
              <a:srgbClr val="333399"/>
            </a:solidFill>
            <a:prstDash val="sysDot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1225" name="Freeform 2049">
            <a:extLst>
              <a:ext uri="{FF2B5EF4-FFF2-40B4-BE49-F238E27FC236}">
                <a16:creationId xmlns:a16="http://schemas.microsoft.com/office/drawing/2014/main" id="{00000000-0008-0000-0800-000009120300}"/>
              </a:ext>
            </a:extLst>
          </xdr:cNvPr>
          <xdr:cNvSpPr>
            <a:spLocks/>
          </xdr:cNvSpPr>
        </xdr:nvSpPr>
        <xdr:spPr bwMode="auto">
          <a:xfrm>
            <a:off x="3648" y="2544"/>
            <a:ext cx="77" cy="270"/>
          </a:xfrm>
          <a:custGeom>
            <a:avLst/>
            <a:gdLst>
              <a:gd name="T0" fmla="*/ 0 w 77"/>
              <a:gd name="T1" fmla="*/ 0 h 270"/>
              <a:gd name="T2" fmla="*/ 4 w 77"/>
              <a:gd name="T3" fmla="*/ 40 h 270"/>
              <a:gd name="T4" fmla="*/ 41 w 77"/>
              <a:gd name="T5" fmla="*/ 42 h 270"/>
              <a:gd name="T6" fmla="*/ 41 w 77"/>
              <a:gd name="T7" fmla="*/ 101 h 270"/>
              <a:gd name="T8" fmla="*/ 42 w 77"/>
              <a:gd name="T9" fmla="*/ 156 h 270"/>
              <a:gd name="T10" fmla="*/ 75 w 77"/>
              <a:gd name="T11" fmla="*/ 156 h 270"/>
              <a:gd name="T12" fmla="*/ 77 w 77"/>
              <a:gd name="T13" fmla="*/ 270 h 270"/>
              <a:gd name="T14" fmla="*/ 74 w 77"/>
              <a:gd name="T15" fmla="*/ 270 h 270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w 77"/>
              <a:gd name="T25" fmla="*/ 0 h 270"/>
              <a:gd name="T26" fmla="*/ 77 w 77"/>
              <a:gd name="T27" fmla="*/ 270 h 270"/>
            </a:gdLst>
            <a:ahLst/>
            <a:cxnLst>
              <a:cxn ang="T16">
                <a:pos x="T0" y="T1"/>
              </a:cxn>
              <a:cxn ang="T17">
                <a:pos x="T2" y="T3"/>
              </a:cxn>
              <a:cxn ang="T18">
                <a:pos x="T4" y="T5"/>
              </a:cxn>
              <a:cxn ang="T19">
                <a:pos x="T6" y="T7"/>
              </a:cxn>
              <a:cxn ang="T20">
                <a:pos x="T8" y="T9"/>
              </a:cxn>
              <a:cxn ang="T21">
                <a:pos x="T10" y="T11"/>
              </a:cxn>
              <a:cxn ang="T22">
                <a:pos x="T12" y="T13"/>
              </a:cxn>
              <a:cxn ang="T23">
                <a:pos x="T14" y="T15"/>
              </a:cxn>
            </a:cxnLst>
            <a:rect l="T24" t="T25" r="T26" b="T27"/>
            <a:pathLst>
              <a:path w="77" h="270">
                <a:moveTo>
                  <a:pt x="0" y="0"/>
                </a:moveTo>
                <a:lnTo>
                  <a:pt x="4" y="40"/>
                </a:lnTo>
                <a:lnTo>
                  <a:pt x="41" y="42"/>
                </a:lnTo>
                <a:lnTo>
                  <a:pt x="41" y="101"/>
                </a:lnTo>
                <a:lnTo>
                  <a:pt x="42" y="156"/>
                </a:lnTo>
                <a:lnTo>
                  <a:pt x="75" y="156"/>
                </a:lnTo>
                <a:lnTo>
                  <a:pt x="77" y="270"/>
                </a:lnTo>
                <a:lnTo>
                  <a:pt x="74" y="270"/>
                </a:lnTo>
              </a:path>
            </a:pathLst>
          </a:custGeom>
          <a:noFill/>
          <a:ln w="9525" cap="flat" cmpd="sng">
            <a:solidFill>
              <a:srgbClr val="333399"/>
            </a:solidFill>
            <a:prstDash val="sysDot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1226" name="Freeform 2050">
            <a:extLst>
              <a:ext uri="{FF2B5EF4-FFF2-40B4-BE49-F238E27FC236}">
                <a16:creationId xmlns:a16="http://schemas.microsoft.com/office/drawing/2014/main" id="{00000000-0008-0000-0800-00000A120300}"/>
              </a:ext>
            </a:extLst>
          </xdr:cNvPr>
          <xdr:cNvSpPr>
            <a:spLocks/>
          </xdr:cNvSpPr>
        </xdr:nvSpPr>
        <xdr:spPr bwMode="auto">
          <a:xfrm>
            <a:off x="3842" y="2610"/>
            <a:ext cx="112" cy="168"/>
          </a:xfrm>
          <a:custGeom>
            <a:avLst/>
            <a:gdLst>
              <a:gd name="T0" fmla="*/ 112 w 112"/>
              <a:gd name="T1" fmla="*/ 2 h 168"/>
              <a:gd name="T2" fmla="*/ 12 w 112"/>
              <a:gd name="T3" fmla="*/ 0 h 168"/>
              <a:gd name="T4" fmla="*/ 14 w 112"/>
              <a:gd name="T5" fmla="*/ 22 h 168"/>
              <a:gd name="T6" fmla="*/ 24 w 112"/>
              <a:gd name="T7" fmla="*/ 32 h 168"/>
              <a:gd name="T8" fmla="*/ 28 w 112"/>
              <a:gd name="T9" fmla="*/ 46 h 168"/>
              <a:gd name="T10" fmla="*/ 0 w 112"/>
              <a:gd name="T11" fmla="*/ 46 h 168"/>
              <a:gd name="T12" fmla="*/ 2 w 112"/>
              <a:gd name="T13" fmla="*/ 168 h 168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112"/>
              <a:gd name="T22" fmla="*/ 0 h 168"/>
              <a:gd name="T23" fmla="*/ 112 w 112"/>
              <a:gd name="T24" fmla="*/ 168 h 168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112" h="168">
                <a:moveTo>
                  <a:pt x="112" y="2"/>
                </a:moveTo>
                <a:lnTo>
                  <a:pt x="12" y="0"/>
                </a:lnTo>
                <a:lnTo>
                  <a:pt x="14" y="22"/>
                </a:lnTo>
                <a:lnTo>
                  <a:pt x="24" y="32"/>
                </a:lnTo>
                <a:lnTo>
                  <a:pt x="28" y="46"/>
                </a:lnTo>
                <a:lnTo>
                  <a:pt x="0" y="46"/>
                </a:lnTo>
                <a:lnTo>
                  <a:pt x="2" y="168"/>
                </a:lnTo>
              </a:path>
            </a:pathLst>
          </a:custGeom>
          <a:noFill/>
          <a:ln w="9525" cap="flat" cmpd="sng">
            <a:solidFill>
              <a:srgbClr val="333399"/>
            </a:solidFill>
            <a:prstDash val="sysDot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1227" name="Freeform 2051">
            <a:extLst>
              <a:ext uri="{FF2B5EF4-FFF2-40B4-BE49-F238E27FC236}">
                <a16:creationId xmlns:a16="http://schemas.microsoft.com/office/drawing/2014/main" id="{00000000-0008-0000-0800-00000B120300}"/>
              </a:ext>
            </a:extLst>
          </xdr:cNvPr>
          <xdr:cNvSpPr>
            <a:spLocks/>
          </xdr:cNvSpPr>
        </xdr:nvSpPr>
        <xdr:spPr bwMode="auto">
          <a:xfrm>
            <a:off x="3654" y="2750"/>
            <a:ext cx="272" cy="528"/>
          </a:xfrm>
          <a:custGeom>
            <a:avLst/>
            <a:gdLst>
              <a:gd name="T0" fmla="*/ 238 w 272"/>
              <a:gd name="T1" fmla="*/ 326 h 528"/>
              <a:gd name="T2" fmla="*/ 254 w 272"/>
              <a:gd name="T3" fmla="*/ 286 h 528"/>
              <a:gd name="T4" fmla="*/ 272 w 272"/>
              <a:gd name="T5" fmla="*/ 266 h 528"/>
              <a:gd name="T6" fmla="*/ 270 w 272"/>
              <a:gd name="T7" fmla="*/ 16 h 528"/>
              <a:gd name="T8" fmla="*/ 228 w 272"/>
              <a:gd name="T9" fmla="*/ 14 h 528"/>
              <a:gd name="T10" fmla="*/ 222 w 272"/>
              <a:gd name="T11" fmla="*/ 0 h 528"/>
              <a:gd name="T12" fmla="*/ 214 w 272"/>
              <a:gd name="T13" fmla="*/ 28 h 528"/>
              <a:gd name="T14" fmla="*/ 102 w 272"/>
              <a:gd name="T15" fmla="*/ 26 h 528"/>
              <a:gd name="T16" fmla="*/ 102 w 272"/>
              <a:gd name="T17" fmla="*/ 64 h 528"/>
              <a:gd name="T18" fmla="*/ 68 w 272"/>
              <a:gd name="T19" fmla="*/ 64 h 528"/>
              <a:gd name="T20" fmla="*/ 58 w 272"/>
              <a:gd name="T21" fmla="*/ 78 h 528"/>
              <a:gd name="T22" fmla="*/ 60 w 272"/>
              <a:gd name="T23" fmla="*/ 104 h 528"/>
              <a:gd name="T24" fmla="*/ 30 w 272"/>
              <a:gd name="T25" fmla="*/ 102 h 528"/>
              <a:gd name="T26" fmla="*/ 30 w 272"/>
              <a:gd name="T27" fmla="*/ 224 h 528"/>
              <a:gd name="T28" fmla="*/ 56 w 272"/>
              <a:gd name="T29" fmla="*/ 224 h 528"/>
              <a:gd name="T30" fmla="*/ 50 w 272"/>
              <a:gd name="T31" fmla="*/ 246 h 528"/>
              <a:gd name="T32" fmla="*/ 46 w 272"/>
              <a:gd name="T33" fmla="*/ 328 h 528"/>
              <a:gd name="T34" fmla="*/ 48 w 272"/>
              <a:gd name="T35" fmla="*/ 462 h 528"/>
              <a:gd name="T36" fmla="*/ 36 w 272"/>
              <a:gd name="T37" fmla="*/ 474 h 528"/>
              <a:gd name="T38" fmla="*/ 34 w 272"/>
              <a:gd name="T39" fmla="*/ 502 h 528"/>
              <a:gd name="T40" fmla="*/ 18 w 272"/>
              <a:gd name="T41" fmla="*/ 526 h 528"/>
              <a:gd name="T42" fmla="*/ 0 w 272"/>
              <a:gd name="T43" fmla="*/ 528 h 528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  <a:gd name="T63" fmla="*/ 0 60000 65536"/>
              <a:gd name="T64" fmla="*/ 0 60000 65536"/>
              <a:gd name="T65" fmla="*/ 0 60000 65536"/>
              <a:gd name="T66" fmla="*/ 0 w 272"/>
              <a:gd name="T67" fmla="*/ 0 h 528"/>
              <a:gd name="T68" fmla="*/ 272 w 272"/>
              <a:gd name="T69" fmla="*/ 528 h 528"/>
            </a:gdLst>
            <a:ahLst/>
            <a:cxnLst>
              <a:cxn ang="T44">
                <a:pos x="T0" y="T1"/>
              </a:cxn>
              <a:cxn ang="T45">
                <a:pos x="T2" y="T3"/>
              </a:cxn>
              <a:cxn ang="T46">
                <a:pos x="T4" y="T5"/>
              </a:cxn>
              <a:cxn ang="T47">
                <a:pos x="T6" y="T7"/>
              </a:cxn>
              <a:cxn ang="T48">
                <a:pos x="T8" y="T9"/>
              </a:cxn>
              <a:cxn ang="T49">
                <a:pos x="T10" y="T11"/>
              </a:cxn>
              <a:cxn ang="T50">
                <a:pos x="T12" y="T13"/>
              </a:cxn>
              <a:cxn ang="T51">
                <a:pos x="T14" y="T15"/>
              </a:cxn>
              <a:cxn ang="T52">
                <a:pos x="T16" y="T17"/>
              </a:cxn>
              <a:cxn ang="T53">
                <a:pos x="T18" y="T19"/>
              </a:cxn>
              <a:cxn ang="T54">
                <a:pos x="T20" y="T21"/>
              </a:cxn>
              <a:cxn ang="T55">
                <a:pos x="T22" y="T23"/>
              </a:cxn>
              <a:cxn ang="T56">
                <a:pos x="T24" y="T25"/>
              </a:cxn>
              <a:cxn ang="T57">
                <a:pos x="T26" y="T27"/>
              </a:cxn>
              <a:cxn ang="T58">
                <a:pos x="T28" y="T29"/>
              </a:cxn>
              <a:cxn ang="T59">
                <a:pos x="T30" y="T31"/>
              </a:cxn>
              <a:cxn ang="T60">
                <a:pos x="T32" y="T33"/>
              </a:cxn>
              <a:cxn ang="T61">
                <a:pos x="T34" y="T35"/>
              </a:cxn>
              <a:cxn ang="T62">
                <a:pos x="T36" y="T37"/>
              </a:cxn>
              <a:cxn ang="T63">
                <a:pos x="T38" y="T39"/>
              </a:cxn>
              <a:cxn ang="T64">
                <a:pos x="T40" y="T41"/>
              </a:cxn>
              <a:cxn ang="T65">
                <a:pos x="T42" y="T43"/>
              </a:cxn>
            </a:cxnLst>
            <a:rect l="T66" t="T67" r="T68" b="T69"/>
            <a:pathLst>
              <a:path w="272" h="528">
                <a:moveTo>
                  <a:pt x="238" y="326"/>
                </a:moveTo>
                <a:lnTo>
                  <a:pt x="254" y="286"/>
                </a:lnTo>
                <a:lnTo>
                  <a:pt x="272" y="266"/>
                </a:lnTo>
                <a:lnTo>
                  <a:pt x="270" y="16"/>
                </a:lnTo>
                <a:lnTo>
                  <a:pt x="228" y="14"/>
                </a:lnTo>
                <a:lnTo>
                  <a:pt x="222" y="0"/>
                </a:lnTo>
                <a:lnTo>
                  <a:pt x="214" y="28"/>
                </a:lnTo>
                <a:lnTo>
                  <a:pt x="102" y="26"/>
                </a:lnTo>
                <a:lnTo>
                  <a:pt x="102" y="64"/>
                </a:lnTo>
                <a:lnTo>
                  <a:pt x="68" y="64"/>
                </a:lnTo>
                <a:lnTo>
                  <a:pt x="58" y="78"/>
                </a:lnTo>
                <a:lnTo>
                  <a:pt x="60" y="104"/>
                </a:lnTo>
                <a:lnTo>
                  <a:pt x="30" y="102"/>
                </a:lnTo>
                <a:lnTo>
                  <a:pt x="30" y="224"/>
                </a:lnTo>
                <a:lnTo>
                  <a:pt x="56" y="224"/>
                </a:lnTo>
                <a:lnTo>
                  <a:pt x="50" y="246"/>
                </a:lnTo>
                <a:lnTo>
                  <a:pt x="46" y="328"/>
                </a:lnTo>
                <a:lnTo>
                  <a:pt x="48" y="462"/>
                </a:lnTo>
                <a:lnTo>
                  <a:pt x="36" y="474"/>
                </a:lnTo>
                <a:lnTo>
                  <a:pt x="34" y="502"/>
                </a:lnTo>
                <a:lnTo>
                  <a:pt x="18" y="526"/>
                </a:lnTo>
                <a:lnTo>
                  <a:pt x="0" y="528"/>
                </a:lnTo>
              </a:path>
            </a:pathLst>
          </a:custGeom>
          <a:noFill/>
          <a:ln w="9525" cap="flat" cmpd="sng">
            <a:solidFill>
              <a:srgbClr val="333399"/>
            </a:solidFill>
            <a:prstDash val="sysDot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1228" name="Freeform 2052">
            <a:extLst>
              <a:ext uri="{FF2B5EF4-FFF2-40B4-BE49-F238E27FC236}">
                <a16:creationId xmlns:a16="http://schemas.microsoft.com/office/drawing/2014/main" id="{00000000-0008-0000-0800-00000C120300}"/>
              </a:ext>
            </a:extLst>
          </xdr:cNvPr>
          <xdr:cNvSpPr>
            <a:spLocks/>
          </xdr:cNvSpPr>
        </xdr:nvSpPr>
        <xdr:spPr bwMode="auto">
          <a:xfrm>
            <a:off x="3692" y="3286"/>
            <a:ext cx="266" cy="50"/>
          </a:xfrm>
          <a:custGeom>
            <a:avLst/>
            <a:gdLst>
              <a:gd name="T0" fmla="*/ 266 w 266"/>
              <a:gd name="T1" fmla="*/ 50 h 50"/>
              <a:gd name="T2" fmla="*/ 178 w 266"/>
              <a:gd name="T3" fmla="*/ 50 h 50"/>
              <a:gd name="T4" fmla="*/ 172 w 266"/>
              <a:gd name="T5" fmla="*/ 14 h 50"/>
              <a:gd name="T6" fmla="*/ 108 w 266"/>
              <a:gd name="T7" fmla="*/ 14 h 50"/>
              <a:gd name="T8" fmla="*/ 108 w 266"/>
              <a:gd name="T9" fmla="*/ 30 h 50"/>
              <a:gd name="T10" fmla="*/ 90 w 266"/>
              <a:gd name="T11" fmla="*/ 28 h 50"/>
              <a:gd name="T12" fmla="*/ 88 w 266"/>
              <a:gd name="T13" fmla="*/ 14 h 50"/>
              <a:gd name="T14" fmla="*/ 62 w 266"/>
              <a:gd name="T15" fmla="*/ 12 h 50"/>
              <a:gd name="T16" fmla="*/ 52 w 266"/>
              <a:gd name="T17" fmla="*/ 0 h 50"/>
              <a:gd name="T18" fmla="*/ 24 w 266"/>
              <a:gd name="T19" fmla="*/ 2 h 50"/>
              <a:gd name="T20" fmla="*/ 28 w 266"/>
              <a:gd name="T21" fmla="*/ 44 h 50"/>
              <a:gd name="T22" fmla="*/ 0 w 266"/>
              <a:gd name="T23" fmla="*/ 44 h 50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w 266"/>
              <a:gd name="T37" fmla="*/ 0 h 50"/>
              <a:gd name="T38" fmla="*/ 266 w 266"/>
              <a:gd name="T39" fmla="*/ 50 h 50"/>
            </a:gdLst>
            <a:ahLst/>
            <a:cxnLst>
              <a:cxn ang="T24">
                <a:pos x="T0" y="T1"/>
              </a:cxn>
              <a:cxn ang="T25">
                <a:pos x="T2" y="T3"/>
              </a:cxn>
              <a:cxn ang="T26">
                <a:pos x="T4" y="T5"/>
              </a:cxn>
              <a:cxn ang="T27">
                <a:pos x="T6" y="T7"/>
              </a:cxn>
              <a:cxn ang="T28">
                <a:pos x="T8" y="T9"/>
              </a:cxn>
              <a:cxn ang="T29">
                <a:pos x="T10" y="T11"/>
              </a:cxn>
              <a:cxn ang="T30">
                <a:pos x="T12" y="T13"/>
              </a:cxn>
              <a:cxn ang="T31">
                <a:pos x="T14" y="T15"/>
              </a:cxn>
              <a:cxn ang="T32">
                <a:pos x="T16" y="T17"/>
              </a:cxn>
              <a:cxn ang="T33">
                <a:pos x="T18" y="T19"/>
              </a:cxn>
              <a:cxn ang="T34">
                <a:pos x="T20" y="T21"/>
              </a:cxn>
              <a:cxn ang="T35">
                <a:pos x="T22" y="T23"/>
              </a:cxn>
            </a:cxnLst>
            <a:rect l="T36" t="T37" r="T38" b="T39"/>
            <a:pathLst>
              <a:path w="266" h="50">
                <a:moveTo>
                  <a:pt x="266" y="50"/>
                </a:moveTo>
                <a:lnTo>
                  <a:pt x="178" y="50"/>
                </a:lnTo>
                <a:lnTo>
                  <a:pt x="172" y="14"/>
                </a:lnTo>
                <a:lnTo>
                  <a:pt x="108" y="14"/>
                </a:lnTo>
                <a:lnTo>
                  <a:pt x="108" y="30"/>
                </a:lnTo>
                <a:lnTo>
                  <a:pt x="90" y="28"/>
                </a:lnTo>
                <a:lnTo>
                  <a:pt x="88" y="14"/>
                </a:lnTo>
                <a:lnTo>
                  <a:pt x="62" y="12"/>
                </a:lnTo>
                <a:lnTo>
                  <a:pt x="52" y="0"/>
                </a:lnTo>
                <a:lnTo>
                  <a:pt x="24" y="2"/>
                </a:lnTo>
                <a:lnTo>
                  <a:pt x="28" y="44"/>
                </a:lnTo>
                <a:lnTo>
                  <a:pt x="0" y="44"/>
                </a:lnTo>
              </a:path>
            </a:pathLst>
          </a:custGeom>
          <a:noFill/>
          <a:ln w="9525" cap="flat" cmpd="sng">
            <a:solidFill>
              <a:srgbClr val="333399"/>
            </a:solidFill>
            <a:prstDash val="sysDot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1229" name="Freeform 2053">
            <a:extLst>
              <a:ext uri="{FF2B5EF4-FFF2-40B4-BE49-F238E27FC236}">
                <a16:creationId xmlns:a16="http://schemas.microsoft.com/office/drawing/2014/main" id="{00000000-0008-0000-0800-00000D120300}"/>
              </a:ext>
            </a:extLst>
          </xdr:cNvPr>
          <xdr:cNvSpPr>
            <a:spLocks/>
          </xdr:cNvSpPr>
        </xdr:nvSpPr>
        <xdr:spPr bwMode="auto">
          <a:xfrm>
            <a:off x="3828" y="3388"/>
            <a:ext cx="130" cy="240"/>
          </a:xfrm>
          <a:custGeom>
            <a:avLst/>
            <a:gdLst>
              <a:gd name="T0" fmla="*/ 130 w 130"/>
              <a:gd name="T1" fmla="*/ 0 h 240"/>
              <a:gd name="T2" fmla="*/ 42 w 130"/>
              <a:gd name="T3" fmla="*/ 0 h 240"/>
              <a:gd name="T4" fmla="*/ 36 w 130"/>
              <a:gd name="T5" fmla="*/ 14 h 240"/>
              <a:gd name="T6" fmla="*/ 24 w 130"/>
              <a:gd name="T7" fmla="*/ 28 h 240"/>
              <a:gd name="T8" fmla="*/ 26 w 130"/>
              <a:gd name="T9" fmla="*/ 46 h 240"/>
              <a:gd name="T10" fmla="*/ 14 w 130"/>
              <a:gd name="T11" fmla="*/ 46 h 240"/>
              <a:gd name="T12" fmla="*/ 0 w 130"/>
              <a:gd name="T13" fmla="*/ 70 h 240"/>
              <a:gd name="T14" fmla="*/ 0 w 130"/>
              <a:gd name="T15" fmla="*/ 92 h 240"/>
              <a:gd name="T16" fmla="*/ 22 w 130"/>
              <a:gd name="T17" fmla="*/ 114 h 240"/>
              <a:gd name="T18" fmla="*/ 22 w 130"/>
              <a:gd name="T19" fmla="*/ 240 h 240"/>
              <a:gd name="T20" fmla="*/ 128 w 130"/>
              <a:gd name="T21" fmla="*/ 240 h 240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w 130"/>
              <a:gd name="T34" fmla="*/ 0 h 240"/>
              <a:gd name="T35" fmla="*/ 130 w 130"/>
              <a:gd name="T36" fmla="*/ 240 h 240"/>
            </a:gdLst>
            <a:ahLst/>
            <a:cxnLst>
              <a:cxn ang="T22">
                <a:pos x="T0" y="T1"/>
              </a:cxn>
              <a:cxn ang="T23">
                <a:pos x="T2" y="T3"/>
              </a:cxn>
              <a:cxn ang="T24">
                <a:pos x="T4" y="T5"/>
              </a:cxn>
              <a:cxn ang="T25">
                <a:pos x="T6" y="T7"/>
              </a:cxn>
              <a:cxn ang="T26">
                <a:pos x="T8" y="T9"/>
              </a:cxn>
              <a:cxn ang="T27">
                <a:pos x="T10" y="T11"/>
              </a:cxn>
              <a:cxn ang="T28">
                <a:pos x="T12" y="T13"/>
              </a:cxn>
              <a:cxn ang="T29">
                <a:pos x="T14" y="T15"/>
              </a:cxn>
              <a:cxn ang="T30">
                <a:pos x="T16" y="T17"/>
              </a:cxn>
              <a:cxn ang="T31">
                <a:pos x="T18" y="T19"/>
              </a:cxn>
              <a:cxn ang="T32">
                <a:pos x="T20" y="T21"/>
              </a:cxn>
            </a:cxnLst>
            <a:rect l="T33" t="T34" r="T35" b="T36"/>
            <a:pathLst>
              <a:path w="130" h="240">
                <a:moveTo>
                  <a:pt x="130" y="0"/>
                </a:moveTo>
                <a:lnTo>
                  <a:pt x="42" y="0"/>
                </a:lnTo>
                <a:lnTo>
                  <a:pt x="36" y="14"/>
                </a:lnTo>
                <a:lnTo>
                  <a:pt x="24" y="28"/>
                </a:lnTo>
                <a:lnTo>
                  <a:pt x="26" y="46"/>
                </a:lnTo>
                <a:lnTo>
                  <a:pt x="14" y="46"/>
                </a:lnTo>
                <a:lnTo>
                  <a:pt x="0" y="70"/>
                </a:lnTo>
                <a:lnTo>
                  <a:pt x="0" y="92"/>
                </a:lnTo>
                <a:lnTo>
                  <a:pt x="22" y="114"/>
                </a:lnTo>
                <a:lnTo>
                  <a:pt x="22" y="240"/>
                </a:lnTo>
                <a:lnTo>
                  <a:pt x="128" y="240"/>
                </a:lnTo>
              </a:path>
            </a:pathLst>
          </a:custGeom>
          <a:noFill/>
          <a:ln w="9525" cap="flat" cmpd="sng">
            <a:solidFill>
              <a:srgbClr val="333399"/>
            </a:solidFill>
            <a:prstDash val="sysDot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1230" name="Freeform 2054">
            <a:extLst>
              <a:ext uri="{FF2B5EF4-FFF2-40B4-BE49-F238E27FC236}">
                <a16:creationId xmlns:a16="http://schemas.microsoft.com/office/drawing/2014/main" id="{00000000-0008-0000-0800-00000E120300}"/>
              </a:ext>
            </a:extLst>
          </xdr:cNvPr>
          <xdr:cNvSpPr>
            <a:spLocks/>
          </xdr:cNvSpPr>
        </xdr:nvSpPr>
        <xdr:spPr bwMode="auto">
          <a:xfrm>
            <a:off x="3638" y="3716"/>
            <a:ext cx="36" cy="24"/>
          </a:xfrm>
          <a:custGeom>
            <a:avLst/>
            <a:gdLst>
              <a:gd name="T0" fmla="*/ 36 w 36"/>
              <a:gd name="T1" fmla="*/ 0 h 24"/>
              <a:gd name="T2" fmla="*/ 0 w 36"/>
              <a:gd name="T3" fmla="*/ 0 h 24"/>
              <a:gd name="T4" fmla="*/ 0 w 36"/>
              <a:gd name="T5" fmla="*/ 24 h 24"/>
              <a:gd name="T6" fmla="*/ 0 60000 65536"/>
              <a:gd name="T7" fmla="*/ 0 60000 65536"/>
              <a:gd name="T8" fmla="*/ 0 60000 65536"/>
              <a:gd name="T9" fmla="*/ 0 w 36"/>
              <a:gd name="T10" fmla="*/ 0 h 24"/>
              <a:gd name="T11" fmla="*/ 36 w 36"/>
              <a:gd name="T12" fmla="*/ 24 h 24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36" h="24">
                <a:moveTo>
                  <a:pt x="36" y="0"/>
                </a:moveTo>
                <a:lnTo>
                  <a:pt x="0" y="0"/>
                </a:lnTo>
                <a:lnTo>
                  <a:pt x="0" y="24"/>
                </a:lnTo>
              </a:path>
            </a:pathLst>
          </a:custGeom>
          <a:noFill/>
          <a:ln w="9525" cap="flat" cmpd="sng">
            <a:solidFill>
              <a:srgbClr val="333399"/>
            </a:solidFill>
            <a:prstDash val="sysDot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8679" name="Text Box 2055">
            <a:extLst>
              <a:ext uri="{FF2B5EF4-FFF2-40B4-BE49-F238E27FC236}">
                <a16:creationId xmlns:a16="http://schemas.microsoft.com/office/drawing/2014/main" id="{00000000-0008-0000-0800-0000077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448" y="3513"/>
            <a:ext cx="100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28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680" name="Text Box 2056">
            <a:extLst>
              <a:ext uri="{FF2B5EF4-FFF2-40B4-BE49-F238E27FC236}">
                <a16:creationId xmlns:a16="http://schemas.microsoft.com/office/drawing/2014/main" id="{00000000-0008-0000-0800-0000087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454" y="3673"/>
            <a:ext cx="100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1-L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01233" name="Line 2057">
            <a:extLst>
              <a:ext uri="{FF2B5EF4-FFF2-40B4-BE49-F238E27FC236}">
                <a16:creationId xmlns:a16="http://schemas.microsoft.com/office/drawing/2014/main" id="{00000000-0008-0000-0800-000011120300}"/>
              </a:ext>
            </a:extLst>
          </xdr:cNvPr>
          <xdr:cNvSpPr>
            <a:spLocks noChangeShapeType="1"/>
          </xdr:cNvSpPr>
        </xdr:nvSpPr>
        <xdr:spPr bwMode="auto">
          <a:xfrm>
            <a:off x="3550" y="3706"/>
            <a:ext cx="82" cy="1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8682" name="Text Box 2058">
            <a:extLst>
              <a:ext uri="{FF2B5EF4-FFF2-40B4-BE49-F238E27FC236}">
                <a16:creationId xmlns:a16="http://schemas.microsoft.com/office/drawing/2014/main" id="{00000000-0008-0000-0800-00000A7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395" y="3281"/>
            <a:ext cx="77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27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683" name="Text Box 2059">
            <a:extLst>
              <a:ext uri="{FF2B5EF4-FFF2-40B4-BE49-F238E27FC236}">
                <a16:creationId xmlns:a16="http://schemas.microsoft.com/office/drawing/2014/main" id="{00000000-0008-0000-0800-00000B7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554" y="3453"/>
            <a:ext cx="289" cy="11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12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County </a:t>
            </a:r>
            <a:endParaRPr 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684" name="Text Box 2060">
            <a:extLst>
              <a:ext uri="{FF2B5EF4-FFF2-40B4-BE49-F238E27FC236}">
                <a16:creationId xmlns:a16="http://schemas.microsoft.com/office/drawing/2014/main" id="{00000000-0008-0000-0800-00000C7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748" y="3608"/>
            <a:ext cx="94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39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685" name="Text Box 2061">
            <a:extLst>
              <a:ext uri="{FF2B5EF4-FFF2-40B4-BE49-F238E27FC236}">
                <a16:creationId xmlns:a16="http://schemas.microsoft.com/office/drawing/2014/main" id="{00000000-0008-0000-0800-00000D7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837" y="3507"/>
            <a:ext cx="241" cy="6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7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Cau-</a:t>
            </a: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686" name="Text Box 2062">
            <a:extLst>
              <a:ext uri="{FF2B5EF4-FFF2-40B4-BE49-F238E27FC236}">
                <a16:creationId xmlns:a16="http://schemas.microsoft.com/office/drawing/2014/main" id="{00000000-0008-0000-0800-00000E7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719" y="3673"/>
            <a:ext cx="171" cy="6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7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Dora</a:t>
            </a: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687" name="Text Box 2063">
            <a:extLst>
              <a:ext uri="{FF2B5EF4-FFF2-40B4-BE49-F238E27FC236}">
                <a16:creationId xmlns:a16="http://schemas.microsoft.com/office/drawing/2014/main" id="{00000000-0008-0000-0800-00000F7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842" y="3548"/>
            <a:ext cx="124" cy="6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7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sey</a:t>
            </a: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688" name="Text Box 2064">
            <a:extLst>
              <a:ext uri="{FF2B5EF4-FFF2-40B4-BE49-F238E27FC236}">
                <a16:creationId xmlns:a16="http://schemas.microsoft.com/office/drawing/2014/main" id="{00000000-0008-0000-0800-0000107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831" y="3424"/>
            <a:ext cx="135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39-A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689" name="Text Box 2065">
            <a:extLst>
              <a:ext uri="{FF2B5EF4-FFF2-40B4-BE49-F238E27FC236}">
                <a16:creationId xmlns:a16="http://schemas.microsoft.com/office/drawing/2014/main" id="{00000000-0008-0000-0800-0000117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742" y="3103"/>
            <a:ext cx="53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1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690" name="Text Box 2066">
            <a:extLst>
              <a:ext uri="{FF2B5EF4-FFF2-40B4-BE49-F238E27FC236}">
                <a16:creationId xmlns:a16="http://schemas.microsoft.com/office/drawing/2014/main" id="{00000000-0008-0000-0800-0000127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524" y="3157"/>
            <a:ext cx="212" cy="6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7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Floyd</a:t>
            </a: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691" name="Text Box 2067">
            <a:extLst>
              <a:ext uri="{FF2B5EF4-FFF2-40B4-BE49-F238E27FC236}">
                <a16:creationId xmlns:a16="http://schemas.microsoft.com/office/drawing/2014/main" id="{00000000-0008-0000-0800-0000137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872" y="3092"/>
            <a:ext cx="59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3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692" name="Text Box 2068">
            <a:extLst>
              <a:ext uri="{FF2B5EF4-FFF2-40B4-BE49-F238E27FC236}">
                <a16:creationId xmlns:a16="http://schemas.microsoft.com/office/drawing/2014/main" id="{00000000-0008-0000-0800-0000147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719" y="3192"/>
            <a:ext cx="212" cy="6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7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Portales</a:t>
            </a: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693" name="Text Box 2069">
            <a:extLst>
              <a:ext uri="{FF2B5EF4-FFF2-40B4-BE49-F238E27FC236}">
                <a16:creationId xmlns:a16="http://schemas.microsoft.com/office/drawing/2014/main" id="{00000000-0008-0000-0800-0000157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678" y="2421"/>
            <a:ext cx="153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23-47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01246" name="Line 2070">
            <a:extLst>
              <a:ext uri="{FF2B5EF4-FFF2-40B4-BE49-F238E27FC236}">
                <a16:creationId xmlns:a16="http://schemas.microsoft.com/office/drawing/2014/main" id="{00000000-0008-0000-0800-00001E120300}"/>
              </a:ext>
            </a:extLst>
          </xdr:cNvPr>
          <xdr:cNvSpPr>
            <a:spLocks noChangeShapeType="1"/>
          </xdr:cNvSpPr>
        </xdr:nvSpPr>
        <xdr:spPr bwMode="auto">
          <a:xfrm flipH="1">
            <a:off x="3706" y="2489"/>
            <a:ext cx="0" cy="107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8695" name="Text Box 2071">
            <a:extLst>
              <a:ext uri="{FF2B5EF4-FFF2-40B4-BE49-F238E27FC236}">
                <a16:creationId xmlns:a16="http://schemas.microsoft.com/office/drawing/2014/main" id="{00000000-0008-0000-0800-0000177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366" y="2279"/>
            <a:ext cx="330" cy="6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7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Tucumcari</a:t>
            </a: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696" name="Text Box 2072">
            <a:extLst>
              <a:ext uri="{FF2B5EF4-FFF2-40B4-BE49-F238E27FC236}">
                <a16:creationId xmlns:a16="http://schemas.microsoft.com/office/drawing/2014/main" id="{00000000-0008-0000-0800-0000187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313" y="2386"/>
            <a:ext cx="94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1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697" name="Text Box 2073">
            <a:extLst>
              <a:ext uri="{FF2B5EF4-FFF2-40B4-BE49-F238E27FC236}">
                <a16:creationId xmlns:a16="http://schemas.microsoft.com/office/drawing/2014/main" id="{00000000-0008-0000-0800-0000197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619" y="2101"/>
            <a:ext cx="212" cy="6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7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Logan</a:t>
            </a: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698" name="Text Box 2074">
            <a:extLst>
              <a:ext uri="{FF2B5EF4-FFF2-40B4-BE49-F238E27FC236}">
                <a16:creationId xmlns:a16="http://schemas.microsoft.com/office/drawing/2014/main" id="{00000000-0008-0000-0800-00001A7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666" y="2024"/>
            <a:ext cx="71" cy="5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6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25</a:t>
            </a: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699" name="Text Box 2075">
            <a:extLst>
              <a:ext uri="{FF2B5EF4-FFF2-40B4-BE49-F238E27FC236}">
                <a16:creationId xmlns:a16="http://schemas.microsoft.com/office/drawing/2014/main" id="{00000000-0008-0000-0800-00001B7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641" y="1869"/>
            <a:ext cx="147" cy="7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7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Las</a:t>
            </a: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700" name="Text Box 2076">
            <a:extLst>
              <a:ext uri="{FF2B5EF4-FFF2-40B4-BE49-F238E27FC236}">
                <a16:creationId xmlns:a16="http://schemas.microsoft.com/office/drawing/2014/main" id="{00000000-0008-0000-0800-00001C7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647" y="1941"/>
            <a:ext cx="330" cy="6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7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Vegas City</a:t>
            </a: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701" name="Text Box 2077">
            <a:extLst>
              <a:ext uri="{FF2B5EF4-FFF2-40B4-BE49-F238E27FC236}">
                <a16:creationId xmlns:a16="http://schemas.microsoft.com/office/drawing/2014/main" id="{00000000-0008-0000-0800-00001D7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735" y="2113"/>
            <a:ext cx="383" cy="6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7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Las Vegas West</a:t>
            </a: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01254" name="Line 2078">
            <a:extLst>
              <a:ext uri="{FF2B5EF4-FFF2-40B4-BE49-F238E27FC236}">
                <a16:creationId xmlns:a16="http://schemas.microsoft.com/office/drawing/2014/main" id="{00000000-0008-0000-0800-000026120300}"/>
              </a:ext>
            </a:extLst>
          </xdr:cNvPr>
          <xdr:cNvSpPr>
            <a:spLocks noChangeShapeType="1"/>
          </xdr:cNvSpPr>
        </xdr:nvSpPr>
        <xdr:spPr bwMode="auto">
          <a:xfrm>
            <a:off x="2496" y="2208"/>
            <a:ext cx="102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8703" name="Text Box 2079">
            <a:extLst>
              <a:ext uri="{FF2B5EF4-FFF2-40B4-BE49-F238E27FC236}">
                <a16:creationId xmlns:a16="http://schemas.microsoft.com/office/drawing/2014/main" id="{00000000-0008-0000-0800-00001F7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317" y="1923"/>
            <a:ext cx="177" cy="7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7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</a:t>
            </a:r>
            <a:r>
              <a:rPr lang="en-US" sz="6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Pecos</a:t>
            </a: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01256" name="Freeform 2080">
            <a:extLst>
              <a:ext uri="{FF2B5EF4-FFF2-40B4-BE49-F238E27FC236}">
                <a16:creationId xmlns:a16="http://schemas.microsoft.com/office/drawing/2014/main" id="{00000000-0008-0000-0800-000028120300}"/>
              </a:ext>
            </a:extLst>
          </xdr:cNvPr>
          <xdr:cNvSpPr>
            <a:spLocks/>
          </xdr:cNvSpPr>
        </xdr:nvSpPr>
        <xdr:spPr bwMode="auto">
          <a:xfrm>
            <a:off x="2276" y="1426"/>
            <a:ext cx="88" cy="142"/>
          </a:xfrm>
          <a:custGeom>
            <a:avLst/>
            <a:gdLst>
              <a:gd name="T0" fmla="*/ 20 w 88"/>
              <a:gd name="T1" fmla="*/ 4 h 142"/>
              <a:gd name="T2" fmla="*/ 0 w 88"/>
              <a:gd name="T3" fmla="*/ 0 h 142"/>
              <a:gd name="T4" fmla="*/ 0 w 88"/>
              <a:gd name="T5" fmla="*/ 50 h 142"/>
              <a:gd name="T6" fmla="*/ 14 w 88"/>
              <a:gd name="T7" fmla="*/ 50 h 142"/>
              <a:gd name="T8" fmla="*/ 54 w 88"/>
              <a:gd name="T9" fmla="*/ 68 h 142"/>
              <a:gd name="T10" fmla="*/ 54 w 88"/>
              <a:gd name="T11" fmla="*/ 82 h 142"/>
              <a:gd name="T12" fmla="*/ 68 w 88"/>
              <a:gd name="T13" fmla="*/ 90 h 142"/>
              <a:gd name="T14" fmla="*/ 66 w 88"/>
              <a:gd name="T15" fmla="*/ 116 h 142"/>
              <a:gd name="T16" fmla="*/ 88 w 88"/>
              <a:gd name="T17" fmla="*/ 118 h 142"/>
              <a:gd name="T18" fmla="*/ 88 w 88"/>
              <a:gd name="T19" fmla="*/ 142 h 142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w 88"/>
              <a:gd name="T31" fmla="*/ 0 h 142"/>
              <a:gd name="T32" fmla="*/ 88 w 88"/>
              <a:gd name="T33" fmla="*/ 142 h 142"/>
            </a:gdLst>
            <a:ahLst/>
            <a:cxnLst>
              <a:cxn ang="T20">
                <a:pos x="T0" y="T1"/>
              </a:cxn>
              <a:cxn ang="T21">
                <a:pos x="T2" y="T3"/>
              </a:cxn>
              <a:cxn ang="T22">
                <a:pos x="T4" y="T5"/>
              </a:cxn>
              <a:cxn ang="T23">
                <a:pos x="T6" y="T7"/>
              </a:cxn>
              <a:cxn ang="T24">
                <a:pos x="T8" y="T9"/>
              </a:cxn>
              <a:cxn ang="T25">
                <a:pos x="T10" y="T11"/>
              </a:cxn>
              <a:cxn ang="T26">
                <a:pos x="T12" y="T13"/>
              </a:cxn>
              <a:cxn ang="T27">
                <a:pos x="T14" y="T15"/>
              </a:cxn>
              <a:cxn ang="T28">
                <a:pos x="T16" y="T17"/>
              </a:cxn>
              <a:cxn ang="T29">
                <a:pos x="T18" y="T19"/>
              </a:cxn>
            </a:cxnLst>
            <a:rect l="T30" t="T31" r="T32" b="T33"/>
            <a:pathLst>
              <a:path w="88" h="142">
                <a:moveTo>
                  <a:pt x="20" y="4"/>
                </a:moveTo>
                <a:lnTo>
                  <a:pt x="0" y="0"/>
                </a:lnTo>
                <a:lnTo>
                  <a:pt x="0" y="50"/>
                </a:lnTo>
                <a:lnTo>
                  <a:pt x="14" y="50"/>
                </a:lnTo>
                <a:lnTo>
                  <a:pt x="54" y="68"/>
                </a:lnTo>
                <a:lnTo>
                  <a:pt x="54" y="82"/>
                </a:lnTo>
                <a:lnTo>
                  <a:pt x="68" y="90"/>
                </a:lnTo>
                <a:lnTo>
                  <a:pt x="66" y="116"/>
                </a:lnTo>
                <a:lnTo>
                  <a:pt x="88" y="118"/>
                </a:lnTo>
                <a:lnTo>
                  <a:pt x="88" y="142"/>
                </a:lnTo>
              </a:path>
            </a:pathLst>
          </a:custGeom>
          <a:noFill/>
          <a:ln w="9525" cap="flat" cmpd="sng">
            <a:solidFill>
              <a:srgbClr val="333399"/>
            </a:solidFill>
            <a:prstDash val="sysDot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1257" name="Line 2081">
            <a:extLst>
              <a:ext uri="{FF2B5EF4-FFF2-40B4-BE49-F238E27FC236}">
                <a16:creationId xmlns:a16="http://schemas.microsoft.com/office/drawing/2014/main" id="{00000000-0008-0000-0800-0000291203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2367" y="1509"/>
            <a:ext cx="103" cy="87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8706" name="Text Box 2082">
            <a:extLst>
              <a:ext uri="{FF2B5EF4-FFF2-40B4-BE49-F238E27FC236}">
                <a16:creationId xmlns:a16="http://schemas.microsoft.com/office/drawing/2014/main" id="{00000000-0008-0000-0800-0000227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900" y="1668"/>
            <a:ext cx="153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12-C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01259" name="Line 2083">
            <a:extLst>
              <a:ext uri="{FF2B5EF4-FFF2-40B4-BE49-F238E27FC236}">
                <a16:creationId xmlns:a16="http://schemas.microsoft.com/office/drawing/2014/main" id="{00000000-0008-0000-0800-00002B120300}"/>
              </a:ext>
            </a:extLst>
          </xdr:cNvPr>
          <xdr:cNvSpPr>
            <a:spLocks noChangeShapeType="1"/>
          </xdr:cNvSpPr>
        </xdr:nvSpPr>
        <xdr:spPr bwMode="auto">
          <a:xfrm flipH="1">
            <a:off x="2784" y="1705"/>
            <a:ext cx="112" cy="16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01260" name="Line 2084">
            <a:extLst>
              <a:ext uri="{FF2B5EF4-FFF2-40B4-BE49-F238E27FC236}">
                <a16:creationId xmlns:a16="http://schemas.microsoft.com/office/drawing/2014/main" id="{00000000-0008-0000-0800-00002C120300}"/>
              </a:ext>
            </a:extLst>
          </xdr:cNvPr>
          <xdr:cNvSpPr>
            <a:spLocks noChangeShapeType="1"/>
          </xdr:cNvSpPr>
        </xdr:nvSpPr>
        <xdr:spPr bwMode="auto">
          <a:xfrm>
            <a:off x="2896" y="1705"/>
            <a:ext cx="0" cy="0"/>
          </a:xfrm>
          <a:prstGeom prst="line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 type="triangle" w="med" len="med"/>
              </a14:hiddenLine>
            </a:ext>
          </a:extLst>
        </xdr:spPr>
      </xdr:sp>
      <xdr:sp macro="" textlink="">
        <xdr:nvSpPr>
          <xdr:cNvPr id="28709" name="Text Box 2085">
            <a:extLst>
              <a:ext uri="{FF2B5EF4-FFF2-40B4-BE49-F238E27FC236}">
                <a16:creationId xmlns:a16="http://schemas.microsoft.com/office/drawing/2014/main" id="{00000000-0008-0000-0800-0000257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747" y="1543"/>
            <a:ext cx="259" cy="7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7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Wagon</a:t>
            </a:r>
            <a:endParaRPr lang="en-US" sz="7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7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710" name="Text Box 2086">
            <a:extLst>
              <a:ext uri="{FF2B5EF4-FFF2-40B4-BE49-F238E27FC236}">
                <a16:creationId xmlns:a16="http://schemas.microsoft.com/office/drawing/2014/main" id="{00000000-0008-0000-0800-0000267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735" y="1596"/>
            <a:ext cx="259" cy="5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7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Mound</a:t>
            </a:r>
            <a:endParaRPr lang="en-US" sz="7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7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711" name="Text Box 2087">
            <a:extLst>
              <a:ext uri="{FF2B5EF4-FFF2-40B4-BE49-F238E27FC236}">
                <a16:creationId xmlns:a16="http://schemas.microsoft.com/office/drawing/2014/main" id="{00000000-0008-0000-0800-0000277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95" y="1383"/>
            <a:ext cx="153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3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712" name="Text Box 2088">
            <a:extLst>
              <a:ext uri="{FF2B5EF4-FFF2-40B4-BE49-F238E27FC236}">
                <a16:creationId xmlns:a16="http://schemas.microsoft.com/office/drawing/2014/main" id="{00000000-0008-0000-0800-0000287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71" y="1525"/>
            <a:ext cx="153" cy="7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7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Roy</a:t>
            </a:r>
            <a:endParaRPr lang="en-US" sz="7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7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713" name="Text Box 2089">
            <a:extLst>
              <a:ext uri="{FF2B5EF4-FFF2-40B4-BE49-F238E27FC236}">
                <a16:creationId xmlns:a16="http://schemas.microsoft.com/office/drawing/2014/main" id="{00000000-0008-0000-0800-0000297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524" y="1757"/>
            <a:ext cx="88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5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714" name="Text Box 2090">
            <a:extLst>
              <a:ext uri="{FF2B5EF4-FFF2-40B4-BE49-F238E27FC236}">
                <a16:creationId xmlns:a16="http://schemas.microsoft.com/office/drawing/2014/main" id="{00000000-0008-0000-0800-00002A7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466" y="1822"/>
            <a:ext cx="230" cy="7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7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Mosquero</a:t>
            </a:r>
            <a:endParaRPr lang="en-US" sz="7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7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715" name="Text Box 2091">
            <a:extLst>
              <a:ext uri="{FF2B5EF4-FFF2-40B4-BE49-F238E27FC236}">
                <a16:creationId xmlns:a16="http://schemas.microsoft.com/office/drawing/2014/main" id="{00000000-0008-0000-0800-00002B7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553" y="1324"/>
            <a:ext cx="271" cy="7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7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Ocate 10-A</a:t>
            </a:r>
            <a:endParaRPr lang="en-US" sz="7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7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716" name="Text Box 2092">
            <a:extLst>
              <a:ext uri="{FF2B5EF4-FFF2-40B4-BE49-F238E27FC236}">
                <a16:creationId xmlns:a16="http://schemas.microsoft.com/office/drawing/2014/main" id="{00000000-0008-0000-0800-00002C7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05" y="1395"/>
            <a:ext cx="159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45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717" name="Text Box 2093">
            <a:extLst>
              <a:ext uri="{FF2B5EF4-FFF2-40B4-BE49-F238E27FC236}">
                <a16:creationId xmlns:a16="http://schemas.microsoft.com/office/drawing/2014/main" id="{00000000-0008-0000-0800-00002D7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11" y="1460"/>
            <a:ext cx="259" cy="6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7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Espanola</a:t>
            </a:r>
            <a:endParaRPr lang="en-US" sz="7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7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01270" name="Freeform 2094">
            <a:extLst>
              <a:ext uri="{FF2B5EF4-FFF2-40B4-BE49-F238E27FC236}">
                <a16:creationId xmlns:a16="http://schemas.microsoft.com/office/drawing/2014/main" id="{00000000-0008-0000-0800-000036120300}"/>
              </a:ext>
            </a:extLst>
          </xdr:cNvPr>
          <xdr:cNvSpPr>
            <a:spLocks/>
          </xdr:cNvSpPr>
        </xdr:nvSpPr>
        <xdr:spPr bwMode="auto">
          <a:xfrm>
            <a:off x="288" y="3024"/>
            <a:ext cx="795" cy="495"/>
          </a:xfrm>
          <a:custGeom>
            <a:avLst/>
            <a:gdLst>
              <a:gd name="T0" fmla="*/ 0 w 795"/>
              <a:gd name="T1" fmla="*/ 0 h 495"/>
              <a:gd name="T2" fmla="*/ 120 w 795"/>
              <a:gd name="T3" fmla="*/ 1 h 495"/>
              <a:gd name="T4" fmla="*/ 117 w 795"/>
              <a:gd name="T5" fmla="*/ 171 h 495"/>
              <a:gd name="T6" fmla="*/ 283 w 795"/>
              <a:gd name="T7" fmla="*/ 171 h 495"/>
              <a:gd name="T8" fmla="*/ 283 w 795"/>
              <a:gd name="T9" fmla="*/ 252 h 495"/>
              <a:gd name="T10" fmla="*/ 409 w 795"/>
              <a:gd name="T11" fmla="*/ 253 h 495"/>
              <a:gd name="T12" fmla="*/ 408 w 795"/>
              <a:gd name="T13" fmla="*/ 373 h 495"/>
              <a:gd name="T14" fmla="*/ 337 w 795"/>
              <a:gd name="T15" fmla="*/ 372 h 495"/>
              <a:gd name="T16" fmla="*/ 337 w 795"/>
              <a:gd name="T17" fmla="*/ 400 h 495"/>
              <a:gd name="T18" fmla="*/ 349 w 795"/>
              <a:gd name="T19" fmla="*/ 402 h 495"/>
              <a:gd name="T20" fmla="*/ 349 w 795"/>
              <a:gd name="T21" fmla="*/ 492 h 495"/>
              <a:gd name="T22" fmla="*/ 795 w 795"/>
              <a:gd name="T23" fmla="*/ 495 h 495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w 795"/>
              <a:gd name="T37" fmla="*/ 0 h 495"/>
              <a:gd name="T38" fmla="*/ 795 w 795"/>
              <a:gd name="T39" fmla="*/ 495 h 495"/>
            </a:gdLst>
            <a:ahLst/>
            <a:cxnLst>
              <a:cxn ang="T24">
                <a:pos x="T0" y="T1"/>
              </a:cxn>
              <a:cxn ang="T25">
                <a:pos x="T2" y="T3"/>
              </a:cxn>
              <a:cxn ang="T26">
                <a:pos x="T4" y="T5"/>
              </a:cxn>
              <a:cxn ang="T27">
                <a:pos x="T6" y="T7"/>
              </a:cxn>
              <a:cxn ang="T28">
                <a:pos x="T8" y="T9"/>
              </a:cxn>
              <a:cxn ang="T29">
                <a:pos x="T10" y="T11"/>
              </a:cxn>
              <a:cxn ang="T30">
                <a:pos x="T12" y="T13"/>
              </a:cxn>
              <a:cxn ang="T31">
                <a:pos x="T14" y="T15"/>
              </a:cxn>
              <a:cxn ang="T32">
                <a:pos x="T16" y="T17"/>
              </a:cxn>
              <a:cxn ang="T33">
                <a:pos x="T18" y="T19"/>
              </a:cxn>
              <a:cxn ang="T34">
                <a:pos x="T20" y="T21"/>
              </a:cxn>
              <a:cxn ang="T35">
                <a:pos x="T22" y="T23"/>
              </a:cxn>
            </a:cxnLst>
            <a:rect l="T36" t="T37" r="T38" b="T39"/>
            <a:pathLst>
              <a:path w="795" h="495">
                <a:moveTo>
                  <a:pt x="0" y="0"/>
                </a:moveTo>
                <a:lnTo>
                  <a:pt x="120" y="1"/>
                </a:lnTo>
                <a:lnTo>
                  <a:pt x="117" y="171"/>
                </a:lnTo>
                <a:lnTo>
                  <a:pt x="283" y="171"/>
                </a:lnTo>
                <a:lnTo>
                  <a:pt x="283" y="252"/>
                </a:lnTo>
                <a:lnTo>
                  <a:pt x="409" y="253"/>
                </a:lnTo>
                <a:lnTo>
                  <a:pt x="408" y="373"/>
                </a:lnTo>
                <a:cubicBezTo>
                  <a:pt x="338" y="372"/>
                  <a:pt x="362" y="372"/>
                  <a:pt x="337" y="372"/>
                </a:cubicBezTo>
                <a:lnTo>
                  <a:pt x="337" y="400"/>
                </a:lnTo>
                <a:lnTo>
                  <a:pt x="349" y="402"/>
                </a:lnTo>
                <a:lnTo>
                  <a:pt x="349" y="492"/>
                </a:lnTo>
                <a:lnTo>
                  <a:pt x="795" y="495"/>
                </a:lnTo>
              </a:path>
            </a:pathLst>
          </a:cu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 cap="flat" cmpd="sng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  <xdr:sp macro="" textlink="">
        <xdr:nvSpPr>
          <xdr:cNvPr id="201271" name="Freeform 2095">
            <a:extLst>
              <a:ext uri="{FF2B5EF4-FFF2-40B4-BE49-F238E27FC236}">
                <a16:creationId xmlns:a16="http://schemas.microsoft.com/office/drawing/2014/main" id="{00000000-0008-0000-0800-000037120300}"/>
              </a:ext>
            </a:extLst>
          </xdr:cNvPr>
          <xdr:cNvSpPr>
            <a:spLocks/>
          </xdr:cNvSpPr>
        </xdr:nvSpPr>
        <xdr:spPr bwMode="auto">
          <a:xfrm>
            <a:off x="273" y="3042"/>
            <a:ext cx="801" cy="492"/>
          </a:xfrm>
          <a:custGeom>
            <a:avLst/>
            <a:gdLst>
              <a:gd name="T0" fmla="*/ 0 w 801"/>
              <a:gd name="T1" fmla="*/ 2 h 492"/>
              <a:gd name="T2" fmla="*/ 123 w 801"/>
              <a:gd name="T3" fmla="*/ 0 h 492"/>
              <a:gd name="T4" fmla="*/ 123 w 801"/>
              <a:gd name="T5" fmla="*/ 170 h 492"/>
              <a:gd name="T6" fmla="*/ 287 w 801"/>
              <a:gd name="T7" fmla="*/ 170 h 492"/>
              <a:gd name="T8" fmla="*/ 287 w 801"/>
              <a:gd name="T9" fmla="*/ 248 h 492"/>
              <a:gd name="T10" fmla="*/ 413 w 801"/>
              <a:gd name="T11" fmla="*/ 248 h 492"/>
              <a:gd name="T12" fmla="*/ 413 w 801"/>
              <a:gd name="T13" fmla="*/ 374 h 492"/>
              <a:gd name="T14" fmla="*/ 341 w 801"/>
              <a:gd name="T15" fmla="*/ 374 h 492"/>
              <a:gd name="T16" fmla="*/ 341 w 801"/>
              <a:gd name="T17" fmla="*/ 402 h 492"/>
              <a:gd name="T18" fmla="*/ 354 w 801"/>
              <a:gd name="T19" fmla="*/ 402 h 492"/>
              <a:gd name="T20" fmla="*/ 354 w 801"/>
              <a:gd name="T21" fmla="*/ 492 h 492"/>
              <a:gd name="T22" fmla="*/ 801 w 801"/>
              <a:gd name="T23" fmla="*/ 492 h 492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w 801"/>
              <a:gd name="T37" fmla="*/ 0 h 492"/>
              <a:gd name="T38" fmla="*/ 801 w 801"/>
              <a:gd name="T39" fmla="*/ 492 h 492"/>
            </a:gdLst>
            <a:ahLst/>
            <a:cxnLst>
              <a:cxn ang="T24">
                <a:pos x="T0" y="T1"/>
              </a:cxn>
              <a:cxn ang="T25">
                <a:pos x="T2" y="T3"/>
              </a:cxn>
              <a:cxn ang="T26">
                <a:pos x="T4" y="T5"/>
              </a:cxn>
              <a:cxn ang="T27">
                <a:pos x="T6" y="T7"/>
              </a:cxn>
              <a:cxn ang="T28">
                <a:pos x="T8" y="T9"/>
              </a:cxn>
              <a:cxn ang="T29">
                <a:pos x="T10" y="T11"/>
              </a:cxn>
              <a:cxn ang="T30">
                <a:pos x="T12" y="T13"/>
              </a:cxn>
              <a:cxn ang="T31">
                <a:pos x="T14" y="T15"/>
              </a:cxn>
              <a:cxn ang="T32">
                <a:pos x="T16" y="T17"/>
              </a:cxn>
              <a:cxn ang="T33">
                <a:pos x="T18" y="T19"/>
              </a:cxn>
              <a:cxn ang="T34">
                <a:pos x="T20" y="T21"/>
              </a:cxn>
              <a:cxn ang="T35">
                <a:pos x="T22" y="T23"/>
              </a:cxn>
            </a:cxnLst>
            <a:rect l="T36" t="T37" r="T38" b="T39"/>
            <a:pathLst>
              <a:path w="801" h="492">
                <a:moveTo>
                  <a:pt x="0" y="2"/>
                </a:moveTo>
                <a:lnTo>
                  <a:pt x="123" y="0"/>
                </a:lnTo>
                <a:lnTo>
                  <a:pt x="123" y="170"/>
                </a:lnTo>
                <a:lnTo>
                  <a:pt x="287" y="170"/>
                </a:lnTo>
                <a:lnTo>
                  <a:pt x="287" y="248"/>
                </a:lnTo>
                <a:lnTo>
                  <a:pt x="413" y="248"/>
                </a:lnTo>
                <a:lnTo>
                  <a:pt x="413" y="374"/>
                </a:lnTo>
                <a:lnTo>
                  <a:pt x="341" y="374"/>
                </a:lnTo>
                <a:lnTo>
                  <a:pt x="341" y="402"/>
                </a:lnTo>
                <a:lnTo>
                  <a:pt x="354" y="402"/>
                </a:lnTo>
                <a:lnTo>
                  <a:pt x="354" y="492"/>
                </a:lnTo>
                <a:lnTo>
                  <a:pt x="801" y="492"/>
                </a:lnTo>
              </a:path>
            </a:pathLst>
          </a:custGeom>
          <a:noFill/>
          <a:ln w="9525" cap="flat" cmpd="sng">
            <a:solidFill>
              <a:srgbClr val="333399"/>
            </a:solidFill>
            <a:prstDash val="sysDot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8720" name="Text Box 2096">
            <a:extLst>
              <a:ext uri="{FF2B5EF4-FFF2-40B4-BE49-F238E27FC236}">
                <a16:creationId xmlns:a16="http://schemas.microsoft.com/office/drawing/2014/main" id="{00000000-0008-0000-0800-0000307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641" y="4509"/>
            <a:ext cx="94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14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01273" name="Freeform 2097">
            <a:extLst>
              <a:ext uri="{FF2B5EF4-FFF2-40B4-BE49-F238E27FC236}">
                <a16:creationId xmlns:a16="http://schemas.microsoft.com/office/drawing/2014/main" id="{00000000-0008-0000-0800-000039120300}"/>
              </a:ext>
            </a:extLst>
          </xdr:cNvPr>
          <xdr:cNvSpPr>
            <a:spLocks/>
          </xdr:cNvSpPr>
        </xdr:nvSpPr>
        <xdr:spPr bwMode="auto">
          <a:xfrm>
            <a:off x="2202" y="3456"/>
            <a:ext cx="393" cy="521"/>
          </a:xfrm>
          <a:custGeom>
            <a:avLst/>
            <a:gdLst>
              <a:gd name="T0" fmla="*/ 0 w 393"/>
              <a:gd name="T1" fmla="*/ 440 h 521"/>
              <a:gd name="T2" fmla="*/ 0 w 393"/>
              <a:gd name="T3" fmla="*/ 326 h 521"/>
              <a:gd name="T4" fmla="*/ 29 w 393"/>
              <a:gd name="T5" fmla="*/ 326 h 521"/>
              <a:gd name="T6" fmla="*/ 30 w 393"/>
              <a:gd name="T7" fmla="*/ 314 h 521"/>
              <a:gd name="T8" fmla="*/ 84 w 393"/>
              <a:gd name="T9" fmla="*/ 314 h 521"/>
              <a:gd name="T10" fmla="*/ 84 w 393"/>
              <a:gd name="T11" fmla="*/ 336 h 521"/>
              <a:gd name="T12" fmla="*/ 120 w 393"/>
              <a:gd name="T13" fmla="*/ 336 h 521"/>
              <a:gd name="T14" fmla="*/ 120 w 393"/>
              <a:gd name="T15" fmla="*/ 216 h 521"/>
              <a:gd name="T16" fmla="*/ 152 w 393"/>
              <a:gd name="T17" fmla="*/ 216 h 521"/>
              <a:gd name="T18" fmla="*/ 149 w 393"/>
              <a:gd name="T19" fmla="*/ 120 h 521"/>
              <a:gd name="T20" fmla="*/ 186 w 393"/>
              <a:gd name="T21" fmla="*/ 120 h 521"/>
              <a:gd name="T22" fmla="*/ 186 w 393"/>
              <a:gd name="T23" fmla="*/ 137 h 521"/>
              <a:gd name="T24" fmla="*/ 233 w 393"/>
              <a:gd name="T25" fmla="*/ 137 h 521"/>
              <a:gd name="T26" fmla="*/ 233 w 393"/>
              <a:gd name="T27" fmla="*/ 105 h 521"/>
              <a:gd name="T28" fmla="*/ 257 w 393"/>
              <a:gd name="T29" fmla="*/ 105 h 521"/>
              <a:gd name="T30" fmla="*/ 251 w 393"/>
              <a:gd name="T31" fmla="*/ 0 h 521"/>
              <a:gd name="T32" fmla="*/ 344 w 393"/>
              <a:gd name="T33" fmla="*/ 2 h 521"/>
              <a:gd name="T34" fmla="*/ 345 w 393"/>
              <a:gd name="T35" fmla="*/ 80 h 521"/>
              <a:gd name="T36" fmla="*/ 329 w 393"/>
              <a:gd name="T37" fmla="*/ 81 h 521"/>
              <a:gd name="T38" fmla="*/ 329 w 393"/>
              <a:gd name="T39" fmla="*/ 93 h 521"/>
              <a:gd name="T40" fmla="*/ 314 w 393"/>
              <a:gd name="T41" fmla="*/ 95 h 521"/>
              <a:gd name="T42" fmla="*/ 315 w 393"/>
              <a:gd name="T43" fmla="*/ 107 h 521"/>
              <a:gd name="T44" fmla="*/ 291 w 393"/>
              <a:gd name="T45" fmla="*/ 107 h 521"/>
              <a:gd name="T46" fmla="*/ 293 w 393"/>
              <a:gd name="T47" fmla="*/ 141 h 521"/>
              <a:gd name="T48" fmla="*/ 351 w 393"/>
              <a:gd name="T49" fmla="*/ 141 h 521"/>
              <a:gd name="T50" fmla="*/ 353 w 393"/>
              <a:gd name="T51" fmla="*/ 296 h 521"/>
              <a:gd name="T52" fmla="*/ 393 w 393"/>
              <a:gd name="T53" fmla="*/ 296 h 521"/>
              <a:gd name="T54" fmla="*/ 389 w 393"/>
              <a:gd name="T55" fmla="*/ 359 h 521"/>
              <a:gd name="T56" fmla="*/ 374 w 393"/>
              <a:gd name="T57" fmla="*/ 362 h 521"/>
              <a:gd name="T58" fmla="*/ 374 w 393"/>
              <a:gd name="T59" fmla="*/ 383 h 521"/>
              <a:gd name="T60" fmla="*/ 360 w 393"/>
              <a:gd name="T61" fmla="*/ 381 h 521"/>
              <a:gd name="T62" fmla="*/ 360 w 393"/>
              <a:gd name="T63" fmla="*/ 416 h 521"/>
              <a:gd name="T64" fmla="*/ 348 w 393"/>
              <a:gd name="T65" fmla="*/ 432 h 521"/>
              <a:gd name="T66" fmla="*/ 320 w 393"/>
              <a:gd name="T67" fmla="*/ 432 h 521"/>
              <a:gd name="T68" fmla="*/ 318 w 393"/>
              <a:gd name="T69" fmla="*/ 414 h 521"/>
              <a:gd name="T70" fmla="*/ 279 w 393"/>
              <a:gd name="T71" fmla="*/ 414 h 521"/>
              <a:gd name="T72" fmla="*/ 278 w 393"/>
              <a:gd name="T73" fmla="*/ 521 h 521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w 393"/>
              <a:gd name="T112" fmla="*/ 0 h 521"/>
              <a:gd name="T113" fmla="*/ 393 w 393"/>
              <a:gd name="T114" fmla="*/ 521 h 521"/>
            </a:gdLst>
            <a:ahLst/>
            <a:cxnLst>
              <a:cxn ang="T74">
                <a:pos x="T0" y="T1"/>
              </a:cxn>
              <a:cxn ang="T75">
                <a:pos x="T2" y="T3"/>
              </a:cxn>
              <a:cxn ang="T76">
                <a:pos x="T4" y="T5"/>
              </a:cxn>
              <a:cxn ang="T77">
                <a:pos x="T6" y="T7"/>
              </a:cxn>
              <a:cxn ang="T78">
                <a:pos x="T8" y="T9"/>
              </a:cxn>
              <a:cxn ang="T79">
                <a:pos x="T10" y="T11"/>
              </a:cxn>
              <a:cxn ang="T80">
                <a:pos x="T12" y="T13"/>
              </a:cxn>
              <a:cxn ang="T81">
                <a:pos x="T14" y="T15"/>
              </a:cxn>
              <a:cxn ang="T82">
                <a:pos x="T16" y="T17"/>
              </a:cxn>
              <a:cxn ang="T83">
                <a:pos x="T18" y="T19"/>
              </a:cxn>
              <a:cxn ang="T84">
                <a:pos x="T20" y="T21"/>
              </a:cxn>
              <a:cxn ang="T85">
                <a:pos x="T22" y="T23"/>
              </a:cxn>
              <a:cxn ang="T86">
                <a:pos x="T24" y="T25"/>
              </a:cxn>
              <a:cxn ang="T87">
                <a:pos x="T26" y="T27"/>
              </a:cxn>
              <a:cxn ang="T88">
                <a:pos x="T28" y="T29"/>
              </a:cxn>
              <a:cxn ang="T89">
                <a:pos x="T30" y="T31"/>
              </a:cxn>
              <a:cxn ang="T90">
                <a:pos x="T32" y="T33"/>
              </a:cxn>
              <a:cxn ang="T91">
                <a:pos x="T34" y="T35"/>
              </a:cxn>
              <a:cxn ang="T92">
                <a:pos x="T36" y="T37"/>
              </a:cxn>
              <a:cxn ang="T93">
                <a:pos x="T38" y="T39"/>
              </a:cxn>
              <a:cxn ang="T94">
                <a:pos x="T40" y="T41"/>
              </a:cxn>
              <a:cxn ang="T95">
                <a:pos x="T42" y="T43"/>
              </a:cxn>
              <a:cxn ang="T96">
                <a:pos x="T44" y="T45"/>
              </a:cxn>
              <a:cxn ang="T97">
                <a:pos x="T46" y="T47"/>
              </a:cxn>
              <a:cxn ang="T98">
                <a:pos x="T48" y="T49"/>
              </a:cxn>
              <a:cxn ang="T99">
                <a:pos x="T50" y="T51"/>
              </a:cxn>
              <a:cxn ang="T100">
                <a:pos x="T52" y="T53"/>
              </a:cxn>
              <a:cxn ang="T101">
                <a:pos x="T54" y="T55"/>
              </a:cxn>
              <a:cxn ang="T102">
                <a:pos x="T56" y="T57"/>
              </a:cxn>
              <a:cxn ang="T103">
                <a:pos x="T58" y="T59"/>
              </a:cxn>
              <a:cxn ang="T104">
                <a:pos x="T60" y="T61"/>
              </a:cxn>
              <a:cxn ang="T105">
                <a:pos x="T62" y="T63"/>
              </a:cxn>
              <a:cxn ang="T106">
                <a:pos x="T64" y="T65"/>
              </a:cxn>
              <a:cxn ang="T107">
                <a:pos x="T66" y="T67"/>
              </a:cxn>
              <a:cxn ang="T108">
                <a:pos x="T68" y="T69"/>
              </a:cxn>
              <a:cxn ang="T109">
                <a:pos x="T70" y="T71"/>
              </a:cxn>
              <a:cxn ang="T110">
                <a:pos x="T72" y="T73"/>
              </a:cxn>
            </a:cxnLst>
            <a:rect l="T111" t="T112" r="T113" b="T114"/>
            <a:pathLst>
              <a:path w="393" h="521">
                <a:moveTo>
                  <a:pt x="0" y="440"/>
                </a:moveTo>
                <a:lnTo>
                  <a:pt x="0" y="326"/>
                </a:lnTo>
                <a:lnTo>
                  <a:pt x="29" y="326"/>
                </a:lnTo>
                <a:lnTo>
                  <a:pt x="30" y="314"/>
                </a:lnTo>
                <a:lnTo>
                  <a:pt x="84" y="314"/>
                </a:lnTo>
                <a:lnTo>
                  <a:pt x="84" y="336"/>
                </a:lnTo>
                <a:lnTo>
                  <a:pt x="120" y="336"/>
                </a:lnTo>
                <a:lnTo>
                  <a:pt x="120" y="216"/>
                </a:lnTo>
                <a:lnTo>
                  <a:pt x="152" y="216"/>
                </a:lnTo>
                <a:lnTo>
                  <a:pt x="149" y="120"/>
                </a:lnTo>
                <a:lnTo>
                  <a:pt x="186" y="120"/>
                </a:lnTo>
                <a:lnTo>
                  <a:pt x="186" y="137"/>
                </a:lnTo>
                <a:lnTo>
                  <a:pt x="233" y="137"/>
                </a:lnTo>
                <a:lnTo>
                  <a:pt x="233" y="105"/>
                </a:lnTo>
                <a:lnTo>
                  <a:pt x="257" y="105"/>
                </a:lnTo>
                <a:lnTo>
                  <a:pt x="251" y="0"/>
                </a:lnTo>
                <a:lnTo>
                  <a:pt x="344" y="2"/>
                </a:lnTo>
                <a:lnTo>
                  <a:pt x="345" y="80"/>
                </a:lnTo>
                <a:lnTo>
                  <a:pt x="329" y="81"/>
                </a:lnTo>
                <a:cubicBezTo>
                  <a:pt x="330" y="99"/>
                  <a:pt x="332" y="91"/>
                  <a:pt x="329" y="93"/>
                </a:cubicBezTo>
                <a:lnTo>
                  <a:pt x="314" y="95"/>
                </a:lnTo>
                <a:lnTo>
                  <a:pt x="315" y="107"/>
                </a:lnTo>
                <a:lnTo>
                  <a:pt x="291" y="107"/>
                </a:lnTo>
                <a:lnTo>
                  <a:pt x="293" y="141"/>
                </a:lnTo>
                <a:lnTo>
                  <a:pt x="351" y="141"/>
                </a:lnTo>
                <a:lnTo>
                  <a:pt x="353" y="296"/>
                </a:lnTo>
                <a:lnTo>
                  <a:pt x="393" y="296"/>
                </a:lnTo>
                <a:lnTo>
                  <a:pt x="389" y="359"/>
                </a:lnTo>
                <a:lnTo>
                  <a:pt x="374" y="362"/>
                </a:lnTo>
                <a:lnTo>
                  <a:pt x="374" y="383"/>
                </a:lnTo>
                <a:lnTo>
                  <a:pt x="360" y="381"/>
                </a:lnTo>
                <a:lnTo>
                  <a:pt x="360" y="416"/>
                </a:lnTo>
                <a:lnTo>
                  <a:pt x="348" y="432"/>
                </a:lnTo>
                <a:lnTo>
                  <a:pt x="320" y="432"/>
                </a:lnTo>
                <a:lnTo>
                  <a:pt x="318" y="414"/>
                </a:lnTo>
                <a:lnTo>
                  <a:pt x="279" y="414"/>
                </a:lnTo>
                <a:lnTo>
                  <a:pt x="278" y="521"/>
                </a:lnTo>
              </a:path>
            </a:pathLst>
          </a:custGeom>
          <a:noFill/>
          <a:ln w="9525" cap="flat" cmpd="sng">
            <a:solidFill>
              <a:srgbClr val="333399"/>
            </a:solidFill>
            <a:prstDash val="sysDot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1274" name="Freeform 2098">
            <a:extLst>
              <a:ext uri="{FF2B5EF4-FFF2-40B4-BE49-F238E27FC236}">
                <a16:creationId xmlns:a16="http://schemas.microsoft.com/office/drawing/2014/main" id="{00000000-0008-0000-0800-00003A120300}"/>
              </a:ext>
            </a:extLst>
          </xdr:cNvPr>
          <xdr:cNvSpPr>
            <a:spLocks/>
          </xdr:cNvSpPr>
        </xdr:nvSpPr>
        <xdr:spPr bwMode="auto">
          <a:xfrm>
            <a:off x="2298" y="3813"/>
            <a:ext cx="185" cy="111"/>
          </a:xfrm>
          <a:custGeom>
            <a:avLst/>
            <a:gdLst>
              <a:gd name="T0" fmla="*/ 0 w 185"/>
              <a:gd name="T1" fmla="*/ 111 h 111"/>
              <a:gd name="T2" fmla="*/ 30 w 185"/>
              <a:gd name="T3" fmla="*/ 111 h 111"/>
              <a:gd name="T4" fmla="*/ 32 w 185"/>
              <a:gd name="T5" fmla="*/ 95 h 111"/>
              <a:gd name="T6" fmla="*/ 56 w 185"/>
              <a:gd name="T7" fmla="*/ 98 h 111"/>
              <a:gd name="T8" fmla="*/ 59 w 185"/>
              <a:gd name="T9" fmla="*/ 0 h 111"/>
              <a:gd name="T10" fmla="*/ 84 w 185"/>
              <a:gd name="T11" fmla="*/ 2 h 111"/>
              <a:gd name="T12" fmla="*/ 86 w 185"/>
              <a:gd name="T13" fmla="*/ 29 h 111"/>
              <a:gd name="T14" fmla="*/ 90 w 185"/>
              <a:gd name="T15" fmla="*/ 53 h 111"/>
              <a:gd name="T16" fmla="*/ 111 w 185"/>
              <a:gd name="T17" fmla="*/ 53 h 111"/>
              <a:gd name="T18" fmla="*/ 137 w 185"/>
              <a:gd name="T19" fmla="*/ 30 h 111"/>
              <a:gd name="T20" fmla="*/ 185 w 185"/>
              <a:gd name="T21" fmla="*/ 32 h 111"/>
              <a:gd name="T22" fmla="*/ 183 w 185"/>
              <a:gd name="T23" fmla="*/ 59 h 111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w 185"/>
              <a:gd name="T37" fmla="*/ 0 h 111"/>
              <a:gd name="T38" fmla="*/ 185 w 185"/>
              <a:gd name="T39" fmla="*/ 111 h 111"/>
            </a:gdLst>
            <a:ahLst/>
            <a:cxnLst>
              <a:cxn ang="T24">
                <a:pos x="T0" y="T1"/>
              </a:cxn>
              <a:cxn ang="T25">
                <a:pos x="T2" y="T3"/>
              </a:cxn>
              <a:cxn ang="T26">
                <a:pos x="T4" y="T5"/>
              </a:cxn>
              <a:cxn ang="T27">
                <a:pos x="T6" y="T7"/>
              </a:cxn>
              <a:cxn ang="T28">
                <a:pos x="T8" y="T9"/>
              </a:cxn>
              <a:cxn ang="T29">
                <a:pos x="T10" y="T11"/>
              </a:cxn>
              <a:cxn ang="T30">
                <a:pos x="T12" y="T13"/>
              </a:cxn>
              <a:cxn ang="T31">
                <a:pos x="T14" y="T15"/>
              </a:cxn>
              <a:cxn ang="T32">
                <a:pos x="T16" y="T17"/>
              </a:cxn>
              <a:cxn ang="T33">
                <a:pos x="T18" y="T19"/>
              </a:cxn>
              <a:cxn ang="T34">
                <a:pos x="T20" y="T21"/>
              </a:cxn>
              <a:cxn ang="T35">
                <a:pos x="T22" y="T23"/>
              </a:cxn>
            </a:cxnLst>
            <a:rect l="T36" t="T37" r="T38" b="T39"/>
            <a:pathLst>
              <a:path w="185" h="111">
                <a:moveTo>
                  <a:pt x="0" y="111"/>
                </a:moveTo>
                <a:lnTo>
                  <a:pt x="30" y="111"/>
                </a:lnTo>
                <a:lnTo>
                  <a:pt x="32" y="95"/>
                </a:lnTo>
                <a:lnTo>
                  <a:pt x="56" y="98"/>
                </a:lnTo>
                <a:lnTo>
                  <a:pt x="59" y="0"/>
                </a:lnTo>
                <a:lnTo>
                  <a:pt x="84" y="2"/>
                </a:lnTo>
                <a:lnTo>
                  <a:pt x="86" y="29"/>
                </a:lnTo>
                <a:lnTo>
                  <a:pt x="90" y="53"/>
                </a:lnTo>
                <a:lnTo>
                  <a:pt x="111" y="53"/>
                </a:lnTo>
                <a:lnTo>
                  <a:pt x="137" y="30"/>
                </a:lnTo>
                <a:lnTo>
                  <a:pt x="185" y="32"/>
                </a:lnTo>
                <a:lnTo>
                  <a:pt x="183" y="59"/>
                </a:lnTo>
              </a:path>
            </a:pathLst>
          </a:custGeom>
          <a:noFill/>
          <a:ln w="9525" cap="flat" cmpd="sng">
            <a:solidFill>
              <a:srgbClr val="333399"/>
            </a:solidFill>
            <a:prstDash val="sysDot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8723" name="Text Box 2099">
            <a:extLst>
              <a:ext uri="{FF2B5EF4-FFF2-40B4-BE49-F238E27FC236}">
                <a16:creationId xmlns:a16="http://schemas.microsoft.com/office/drawing/2014/main" id="{00000000-0008-0000-0800-0000337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434" y="1905"/>
            <a:ext cx="489" cy="17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n-US" sz="12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County</a:t>
            </a:r>
            <a:endPara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724" name="Text Box 2100">
            <a:extLst>
              <a:ext uri="{FF2B5EF4-FFF2-40B4-BE49-F238E27FC236}">
                <a16:creationId xmlns:a16="http://schemas.microsoft.com/office/drawing/2014/main" id="{00000000-0008-0000-0800-0000347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288" y="778"/>
            <a:ext cx="312" cy="11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12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County</a:t>
            </a:r>
            <a:endParaRPr 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725" name="Text Box 2101">
            <a:extLst>
              <a:ext uri="{FF2B5EF4-FFF2-40B4-BE49-F238E27FC236}">
                <a16:creationId xmlns:a16="http://schemas.microsoft.com/office/drawing/2014/main" id="{00000000-0008-0000-0800-0000357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348" y="1608"/>
            <a:ext cx="442" cy="17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lnSpc>
                <a:spcPts val="1200"/>
              </a:lnSpc>
              <a:defRPr sz="1000"/>
            </a:pPr>
            <a:r>
              <a:rPr lang="en-US" sz="12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County</a:t>
            </a:r>
          </a:p>
          <a:p>
            <a:pPr algn="l" rtl="0">
              <a:lnSpc>
                <a:spcPts val="1200"/>
              </a:lnSpc>
              <a:defRPr sz="1000"/>
            </a:pPr>
            <a:endPara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01278" name="Freeform 2102">
            <a:extLst>
              <a:ext uri="{FF2B5EF4-FFF2-40B4-BE49-F238E27FC236}">
                <a16:creationId xmlns:a16="http://schemas.microsoft.com/office/drawing/2014/main" id="{00000000-0008-0000-0800-00003E120300}"/>
              </a:ext>
            </a:extLst>
          </xdr:cNvPr>
          <xdr:cNvSpPr>
            <a:spLocks/>
          </xdr:cNvSpPr>
        </xdr:nvSpPr>
        <xdr:spPr bwMode="auto">
          <a:xfrm>
            <a:off x="2841" y="4568"/>
            <a:ext cx="644" cy="129"/>
          </a:xfrm>
          <a:custGeom>
            <a:avLst/>
            <a:gdLst>
              <a:gd name="T0" fmla="*/ 0 w 644"/>
              <a:gd name="T1" fmla="*/ 129 h 129"/>
              <a:gd name="T2" fmla="*/ 147 w 644"/>
              <a:gd name="T3" fmla="*/ 129 h 129"/>
              <a:gd name="T4" fmla="*/ 147 w 644"/>
              <a:gd name="T5" fmla="*/ 79 h 129"/>
              <a:gd name="T6" fmla="*/ 318 w 644"/>
              <a:gd name="T7" fmla="*/ 79 h 129"/>
              <a:gd name="T8" fmla="*/ 320 w 644"/>
              <a:gd name="T9" fmla="*/ 39 h 129"/>
              <a:gd name="T10" fmla="*/ 512 w 644"/>
              <a:gd name="T11" fmla="*/ 40 h 129"/>
              <a:gd name="T12" fmla="*/ 513 w 644"/>
              <a:gd name="T13" fmla="*/ 0 h 129"/>
              <a:gd name="T14" fmla="*/ 644 w 644"/>
              <a:gd name="T15" fmla="*/ 0 h 129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w 644"/>
              <a:gd name="T25" fmla="*/ 0 h 129"/>
              <a:gd name="T26" fmla="*/ 644 w 644"/>
              <a:gd name="T27" fmla="*/ 129 h 129"/>
            </a:gdLst>
            <a:ahLst/>
            <a:cxnLst>
              <a:cxn ang="T16">
                <a:pos x="T0" y="T1"/>
              </a:cxn>
              <a:cxn ang="T17">
                <a:pos x="T2" y="T3"/>
              </a:cxn>
              <a:cxn ang="T18">
                <a:pos x="T4" y="T5"/>
              </a:cxn>
              <a:cxn ang="T19">
                <a:pos x="T6" y="T7"/>
              </a:cxn>
              <a:cxn ang="T20">
                <a:pos x="T8" y="T9"/>
              </a:cxn>
              <a:cxn ang="T21">
                <a:pos x="T10" y="T11"/>
              </a:cxn>
              <a:cxn ang="T22">
                <a:pos x="T12" y="T13"/>
              </a:cxn>
              <a:cxn ang="T23">
                <a:pos x="T14" y="T15"/>
              </a:cxn>
            </a:cxnLst>
            <a:rect l="T24" t="T25" r="T26" b="T27"/>
            <a:pathLst>
              <a:path w="644" h="129">
                <a:moveTo>
                  <a:pt x="0" y="129"/>
                </a:moveTo>
                <a:lnTo>
                  <a:pt x="147" y="129"/>
                </a:lnTo>
                <a:lnTo>
                  <a:pt x="147" y="79"/>
                </a:lnTo>
                <a:lnTo>
                  <a:pt x="318" y="79"/>
                </a:lnTo>
                <a:lnTo>
                  <a:pt x="320" y="39"/>
                </a:lnTo>
                <a:lnTo>
                  <a:pt x="512" y="40"/>
                </a:lnTo>
                <a:lnTo>
                  <a:pt x="513" y="0"/>
                </a:lnTo>
                <a:lnTo>
                  <a:pt x="644" y="0"/>
                </a:lnTo>
              </a:path>
            </a:pathLst>
          </a:custGeom>
          <a:noFill/>
          <a:ln w="9525" cap="flat" cmpd="sng">
            <a:solidFill>
              <a:srgbClr val="333399"/>
            </a:solidFill>
            <a:prstDash val="sysDot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8727" name="Text Box 2103">
            <a:extLst>
              <a:ext uri="{FF2B5EF4-FFF2-40B4-BE49-F238E27FC236}">
                <a16:creationId xmlns:a16="http://schemas.microsoft.com/office/drawing/2014/main" id="{00000000-0008-0000-0800-0000377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18" y="3886"/>
            <a:ext cx="241" cy="7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7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Roswell</a:t>
            </a: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01280" name="Freeform 2104">
            <a:extLst>
              <a:ext uri="{FF2B5EF4-FFF2-40B4-BE49-F238E27FC236}">
                <a16:creationId xmlns:a16="http://schemas.microsoft.com/office/drawing/2014/main" id="{00000000-0008-0000-0800-000040120300}"/>
              </a:ext>
            </a:extLst>
          </xdr:cNvPr>
          <xdr:cNvSpPr>
            <a:spLocks/>
          </xdr:cNvSpPr>
        </xdr:nvSpPr>
        <xdr:spPr bwMode="auto">
          <a:xfrm>
            <a:off x="174" y="576"/>
            <a:ext cx="3789" cy="5118"/>
          </a:xfrm>
          <a:custGeom>
            <a:avLst/>
            <a:gdLst>
              <a:gd name="T0" fmla="*/ 194 w 3789"/>
              <a:gd name="T1" fmla="*/ 0 h 5118"/>
              <a:gd name="T2" fmla="*/ 0 w 3789"/>
              <a:gd name="T3" fmla="*/ 5118 h 5118"/>
              <a:gd name="T4" fmla="*/ 540 w 3789"/>
              <a:gd name="T5" fmla="*/ 5118 h 5118"/>
              <a:gd name="T6" fmla="*/ 549 w 3789"/>
              <a:gd name="T7" fmla="*/ 4749 h 5118"/>
              <a:gd name="T8" fmla="*/ 1608 w 3789"/>
              <a:gd name="T9" fmla="*/ 4772 h 5118"/>
              <a:gd name="T10" fmla="*/ 1548 w 3789"/>
              <a:gd name="T11" fmla="*/ 4710 h 5118"/>
              <a:gd name="T12" fmla="*/ 1538 w 3789"/>
              <a:gd name="T13" fmla="*/ 4667 h 5118"/>
              <a:gd name="T14" fmla="*/ 1554 w 3789"/>
              <a:gd name="T15" fmla="*/ 4620 h 5118"/>
              <a:gd name="T16" fmla="*/ 1545 w 3789"/>
              <a:gd name="T17" fmla="*/ 4596 h 5118"/>
              <a:gd name="T18" fmla="*/ 1571 w 3789"/>
              <a:gd name="T19" fmla="*/ 4580 h 5118"/>
              <a:gd name="T20" fmla="*/ 1617 w 3789"/>
              <a:gd name="T21" fmla="*/ 4572 h 5118"/>
              <a:gd name="T22" fmla="*/ 2670 w 3789"/>
              <a:gd name="T23" fmla="*/ 4587 h 5118"/>
              <a:gd name="T24" fmla="*/ 2681 w 3789"/>
              <a:gd name="T25" fmla="*/ 4590 h 5118"/>
              <a:gd name="T26" fmla="*/ 3789 w 3789"/>
              <a:gd name="T27" fmla="*/ 4596 h 5118"/>
              <a:gd name="T28" fmla="*/ 3789 w 3789"/>
              <a:gd name="T29" fmla="*/ 3177 h 5118"/>
              <a:gd name="T30" fmla="*/ 3764 w 3789"/>
              <a:gd name="T31" fmla="*/ 515 h 5118"/>
              <a:gd name="T32" fmla="*/ 3788 w 3789"/>
              <a:gd name="T33" fmla="*/ 515 h 5118"/>
              <a:gd name="T34" fmla="*/ 3786 w 3789"/>
              <a:gd name="T35" fmla="*/ 66 h 5118"/>
              <a:gd name="T36" fmla="*/ 1846 w 3789"/>
              <a:gd name="T37" fmla="*/ 65 h 5118"/>
              <a:gd name="T38" fmla="*/ 194 w 3789"/>
              <a:gd name="T39" fmla="*/ 0 h 5118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w 3789"/>
              <a:gd name="T61" fmla="*/ 0 h 5118"/>
              <a:gd name="T62" fmla="*/ 3789 w 3789"/>
              <a:gd name="T63" fmla="*/ 5118 h 5118"/>
            </a:gdLst>
            <a:ahLst/>
            <a:cxnLst>
              <a:cxn ang="T40">
                <a:pos x="T0" y="T1"/>
              </a:cxn>
              <a:cxn ang="T41">
                <a:pos x="T2" y="T3"/>
              </a:cxn>
              <a:cxn ang="T42">
                <a:pos x="T4" y="T5"/>
              </a:cxn>
              <a:cxn ang="T43">
                <a:pos x="T6" y="T7"/>
              </a:cxn>
              <a:cxn ang="T44">
                <a:pos x="T8" y="T9"/>
              </a:cxn>
              <a:cxn ang="T45">
                <a:pos x="T10" y="T11"/>
              </a:cxn>
              <a:cxn ang="T46">
                <a:pos x="T12" y="T13"/>
              </a:cxn>
              <a:cxn ang="T47">
                <a:pos x="T14" y="T15"/>
              </a:cxn>
              <a:cxn ang="T48">
                <a:pos x="T16" y="T17"/>
              </a:cxn>
              <a:cxn ang="T49">
                <a:pos x="T18" y="T19"/>
              </a:cxn>
              <a:cxn ang="T50">
                <a:pos x="T20" y="T21"/>
              </a:cxn>
              <a:cxn ang="T51">
                <a:pos x="T22" y="T23"/>
              </a:cxn>
              <a:cxn ang="T52">
                <a:pos x="T24" y="T25"/>
              </a:cxn>
              <a:cxn ang="T53">
                <a:pos x="T26" y="T27"/>
              </a:cxn>
              <a:cxn ang="T54">
                <a:pos x="T28" y="T29"/>
              </a:cxn>
              <a:cxn ang="T55">
                <a:pos x="T30" y="T31"/>
              </a:cxn>
              <a:cxn ang="T56">
                <a:pos x="T32" y="T33"/>
              </a:cxn>
              <a:cxn ang="T57">
                <a:pos x="T34" y="T35"/>
              </a:cxn>
              <a:cxn ang="T58">
                <a:pos x="T36" y="T37"/>
              </a:cxn>
              <a:cxn ang="T59">
                <a:pos x="T38" y="T39"/>
              </a:cxn>
            </a:cxnLst>
            <a:rect l="T60" t="T61" r="T62" b="T63"/>
            <a:pathLst>
              <a:path w="3789" h="5118">
                <a:moveTo>
                  <a:pt x="194" y="0"/>
                </a:moveTo>
                <a:lnTo>
                  <a:pt x="0" y="5118"/>
                </a:lnTo>
                <a:lnTo>
                  <a:pt x="540" y="5118"/>
                </a:lnTo>
                <a:lnTo>
                  <a:pt x="549" y="4749"/>
                </a:lnTo>
                <a:lnTo>
                  <a:pt x="1608" y="4772"/>
                </a:lnTo>
                <a:lnTo>
                  <a:pt x="1548" y="4710"/>
                </a:lnTo>
                <a:lnTo>
                  <a:pt x="1538" y="4667"/>
                </a:lnTo>
                <a:lnTo>
                  <a:pt x="1554" y="4620"/>
                </a:lnTo>
                <a:lnTo>
                  <a:pt x="1545" y="4596"/>
                </a:lnTo>
                <a:lnTo>
                  <a:pt x="1571" y="4580"/>
                </a:lnTo>
                <a:lnTo>
                  <a:pt x="1617" y="4572"/>
                </a:lnTo>
                <a:lnTo>
                  <a:pt x="2670" y="4587"/>
                </a:lnTo>
                <a:lnTo>
                  <a:pt x="2681" y="4590"/>
                </a:lnTo>
                <a:lnTo>
                  <a:pt x="3789" y="4596"/>
                </a:lnTo>
                <a:lnTo>
                  <a:pt x="3789" y="3177"/>
                </a:lnTo>
                <a:lnTo>
                  <a:pt x="3764" y="515"/>
                </a:lnTo>
                <a:lnTo>
                  <a:pt x="3788" y="515"/>
                </a:lnTo>
                <a:lnTo>
                  <a:pt x="3786" y="66"/>
                </a:lnTo>
                <a:lnTo>
                  <a:pt x="1846" y="65"/>
                </a:lnTo>
                <a:lnTo>
                  <a:pt x="194" y="0"/>
                </a:lnTo>
                <a:close/>
              </a:path>
            </a:pathLst>
          </a:custGeom>
          <a:noFill/>
          <a:ln w="25400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8729" name="Text Box 2105">
            <a:extLst>
              <a:ext uri="{FF2B5EF4-FFF2-40B4-BE49-F238E27FC236}">
                <a16:creationId xmlns:a16="http://schemas.microsoft.com/office/drawing/2014/main" id="{00000000-0008-0000-0800-0000397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313" y="2730"/>
            <a:ext cx="212" cy="6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7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</a:t>
            </a:r>
            <a:r>
              <a:rPr lang="en-US" sz="6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House</a:t>
            </a: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730" name="Text Box 2106">
            <a:extLst>
              <a:ext uri="{FF2B5EF4-FFF2-40B4-BE49-F238E27FC236}">
                <a16:creationId xmlns:a16="http://schemas.microsoft.com/office/drawing/2014/main" id="{00000000-0008-0000-0800-00003A7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364" y="1128"/>
            <a:ext cx="94" cy="5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6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Taos</a:t>
            </a:r>
            <a:endParaRPr lang="en-US" sz="7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7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731" name="Text Box 2107">
            <a:extLst>
              <a:ext uri="{FF2B5EF4-FFF2-40B4-BE49-F238E27FC236}">
                <a16:creationId xmlns:a16="http://schemas.microsoft.com/office/drawing/2014/main" id="{00000000-0008-0000-0800-00003B7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164" y="1780"/>
            <a:ext cx="147" cy="1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7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</a:t>
            </a:r>
            <a:r>
              <a:rPr lang="en-US" sz="6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Santa Fe</a:t>
            </a: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732" name="Text Box 2108">
            <a:extLst>
              <a:ext uri="{FF2B5EF4-FFF2-40B4-BE49-F238E27FC236}">
                <a16:creationId xmlns:a16="http://schemas.microsoft.com/office/drawing/2014/main" id="{00000000-0008-0000-0800-00003C7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899" y="2575"/>
            <a:ext cx="71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7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733" name="Text Box 2109">
            <a:extLst>
              <a:ext uri="{FF2B5EF4-FFF2-40B4-BE49-F238E27FC236}">
                <a16:creationId xmlns:a16="http://schemas.microsoft.com/office/drawing/2014/main" id="{00000000-0008-0000-0800-00003D7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065" y="3442"/>
            <a:ext cx="47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1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734" name="Text Box 2110">
            <a:extLst>
              <a:ext uri="{FF2B5EF4-FFF2-40B4-BE49-F238E27FC236}">
                <a16:creationId xmlns:a16="http://schemas.microsoft.com/office/drawing/2014/main" id="{00000000-0008-0000-0800-00003E7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501" y="3293"/>
            <a:ext cx="153" cy="6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7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Elida</a:t>
            </a: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6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735" name="Text Box 2111">
            <a:extLst>
              <a:ext uri="{FF2B5EF4-FFF2-40B4-BE49-F238E27FC236}">
                <a16:creationId xmlns:a16="http://schemas.microsoft.com/office/drawing/2014/main" id="{00000000-0008-0000-0800-00003F7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095" y="4331"/>
            <a:ext cx="100" cy="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8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16</a:t>
            </a:r>
          </a:p>
          <a:p>
            <a:pPr algn="l" rtl="0">
              <a:defRPr sz="1000"/>
            </a:pPr>
            <a:endParaRPr lang="en-US" sz="800" b="0" i="1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736" name="Text Box 2112">
            <a:extLst>
              <a:ext uri="{FF2B5EF4-FFF2-40B4-BE49-F238E27FC236}">
                <a16:creationId xmlns:a16="http://schemas.microsoft.com/office/drawing/2014/main" id="{00000000-0008-0000-0800-0000407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560" y="1335"/>
            <a:ext cx="289" cy="11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US" sz="12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County</a:t>
            </a:r>
            <a:endParaRPr 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8737" name="Text Box 2113">
            <a:extLst>
              <a:ext uri="{FF2B5EF4-FFF2-40B4-BE49-F238E27FC236}">
                <a16:creationId xmlns:a16="http://schemas.microsoft.com/office/drawing/2014/main" id="{00000000-0008-0000-0800-0000417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29" y="5500"/>
            <a:ext cx="253" cy="154"/>
          </a:xfrm>
          <a:prstGeom prst="rect">
            <a:avLst/>
          </a:prstGeom>
          <a:noFill/>
          <a:ln w="15875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lnSpc>
                <a:spcPts val="900"/>
              </a:lnSpc>
              <a:defRPr sz="1000"/>
            </a:pPr>
            <a:endParaRPr lang="en-U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lnSpc>
                <a:spcPts val="900"/>
              </a:lnSpc>
              <a:defRPr sz="1000"/>
            </a:pPr>
            <a:endParaRPr lang="en-U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01290" name="Freeform 2114">
            <a:extLst>
              <a:ext uri="{FF2B5EF4-FFF2-40B4-BE49-F238E27FC236}">
                <a16:creationId xmlns:a16="http://schemas.microsoft.com/office/drawing/2014/main" id="{00000000-0008-0000-0800-00004A120300}"/>
              </a:ext>
            </a:extLst>
          </xdr:cNvPr>
          <xdr:cNvSpPr>
            <a:spLocks/>
          </xdr:cNvSpPr>
        </xdr:nvSpPr>
        <xdr:spPr bwMode="auto">
          <a:xfrm>
            <a:off x="2792" y="1728"/>
            <a:ext cx="522" cy="352"/>
          </a:xfrm>
          <a:custGeom>
            <a:avLst/>
            <a:gdLst>
              <a:gd name="T0" fmla="*/ 0 w 522"/>
              <a:gd name="T1" fmla="*/ 352 h 352"/>
              <a:gd name="T2" fmla="*/ 63 w 522"/>
              <a:gd name="T3" fmla="*/ 318 h 352"/>
              <a:gd name="T4" fmla="*/ 204 w 522"/>
              <a:gd name="T5" fmla="*/ 281 h 352"/>
              <a:gd name="T6" fmla="*/ 189 w 522"/>
              <a:gd name="T7" fmla="*/ 168 h 352"/>
              <a:gd name="T8" fmla="*/ 259 w 522"/>
              <a:gd name="T9" fmla="*/ 88 h 352"/>
              <a:gd name="T10" fmla="*/ 259 w 522"/>
              <a:gd name="T11" fmla="*/ 119 h 352"/>
              <a:gd name="T12" fmla="*/ 299 w 522"/>
              <a:gd name="T13" fmla="*/ 116 h 352"/>
              <a:gd name="T14" fmla="*/ 314 w 522"/>
              <a:gd name="T15" fmla="*/ 140 h 352"/>
              <a:gd name="T16" fmla="*/ 522 w 522"/>
              <a:gd name="T17" fmla="*/ 0 h 352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w 522"/>
              <a:gd name="T28" fmla="*/ 0 h 352"/>
              <a:gd name="T29" fmla="*/ 522 w 522"/>
              <a:gd name="T30" fmla="*/ 352 h 352"/>
            </a:gdLst>
            <a:ahLst/>
            <a:cxnLst>
              <a:cxn ang="T18">
                <a:pos x="T0" y="T1"/>
              </a:cxn>
              <a:cxn ang="T19">
                <a:pos x="T2" y="T3"/>
              </a:cxn>
              <a:cxn ang="T20">
                <a:pos x="T4" y="T5"/>
              </a:cxn>
              <a:cxn ang="T21">
                <a:pos x="T6" y="T7"/>
              </a:cxn>
              <a:cxn ang="T22">
                <a:pos x="T8" y="T9"/>
              </a:cxn>
              <a:cxn ang="T23">
                <a:pos x="T10" y="T11"/>
              </a:cxn>
              <a:cxn ang="T24">
                <a:pos x="T12" y="T13"/>
              </a:cxn>
              <a:cxn ang="T25">
                <a:pos x="T14" y="T15"/>
              </a:cxn>
              <a:cxn ang="T26">
                <a:pos x="T16" y="T17"/>
              </a:cxn>
            </a:cxnLst>
            <a:rect l="T27" t="T28" r="T29" b="T30"/>
            <a:pathLst>
              <a:path w="522" h="352">
                <a:moveTo>
                  <a:pt x="0" y="352"/>
                </a:moveTo>
                <a:lnTo>
                  <a:pt x="63" y="318"/>
                </a:lnTo>
                <a:lnTo>
                  <a:pt x="204" y="281"/>
                </a:lnTo>
                <a:lnTo>
                  <a:pt x="189" y="168"/>
                </a:lnTo>
                <a:lnTo>
                  <a:pt x="259" y="88"/>
                </a:lnTo>
                <a:lnTo>
                  <a:pt x="259" y="119"/>
                </a:lnTo>
                <a:lnTo>
                  <a:pt x="299" y="116"/>
                </a:lnTo>
                <a:lnTo>
                  <a:pt x="314" y="140"/>
                </a:lnTo>
                <a:lnTo>
                  <a:pt x="522" y="0"/>
                </a:lnTo>
              </a:path>
            </a:pathLst>
          </a:custGeom>
          <a:noFill/>
          <a:ln w="9525" cap="flat" cmpd="sng">
            <a:solidFill>
              <a:srgbClr val="333399"/>
            </a:solidFill>
            <a:prstDash val="sysDot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1291" name="Freeform 2115">
            <a:extLst>
              <a:ext uri="{FF2B5EF4-FFF2-40B4-BE49-F238E27FC236}">
                <a16:creationId xmlns:a16="http://schemas.microsoft.com/office/drawing/2014/main" id="{00000000-0008-0000-0800-00004B120300}"/>
              </a:ext>
            </a:extLst>
          </xdr:cNvPr>
          <xdr:cNvSpPr>
            <a:spLocks/>
          </xdr:cNvSpPr>
        </xdr:nvSpPr>
        <xdr:spPr bwMode="auto">
          <a:xfrm>
            <a:off x="2578" y="2160"/>
            <a:ext cx="144" cy="94"/>
          </a:xfrm>
          <a:custGeom>
            <a:avLst/>
            <a:gdLst>
              <a:gd name="T0" fmla="*/ 144 w 144"/>
              <a:gd name="T1" fmla="*/ 92 h 94"/>
              <a:gd name="T2" fmla="*/ 110 w 144"/>
              <a:gd name="T3" fmla="*/ 70 h 94"/>
              <a:gd name="T4" fmla="*/ 68 w 144"/>
              <a:gd name="T5" fmla="*/ 66 h 94"/>
              <a:gd name="T6" fmla="*/ 62 w 144"/>
              <a:gd name="T7" fmla="*/ 26 h 94"/>
              <a:gd name="T8" fmla="*/ 0 w 144"/>
              <a:gd name="T9" fmla="*/ 0 h 94"/>
              <a:gd name="T10" fmla="*/ 8 w 144"/>
              <a:gd name="T11" fmla="*/ 34 h 94"/>
              <a:gd name="T12" fmla="*/ 8 w 144"/>
              <a:gd name="T13" fmla="*/ 94 h 94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144"/>
              <a:gd name="T22" fmla="*/ 0 h 94"/>
              <a:gd name="T23" fmla="*/ 144 w 144"/>
              <a:gd name="T24" fmla="*/ 94 h 94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144" h="94">
                <a:moveTo>
                  <a:pt x="144" y="92"/>
                </a:moveTo>
                <a:lnTo>
                  <a:pt x="110" y="70"/>
                </a:lnTo>
                <a:lnTo>
                  <a:pt x="68" y="66"/>
                </a:lnTo>
                <a:lnTo>
                  <a:pt x="62" y="26"/>
                </a:lnTo>
                <a:lnTo>
                  <a:pt x="0" y="0"/>
                </a:lnTo>
                <a:lnTo>
                  <a:pt x="8" y="34"/>
                </a:lnTo>
                <a:lnTo>
                  <a:pt x="8" y="94"/>
                </a:lnTo>
              </a:path>
            </a:pathLst>
          </a:custGeom>
          <a:noFill/>
          <a:ln w="9525" cap="flat">
            <a:solidFill>
              <a:srgbClr val="0000FF"/>
            </a:solidFill>
            <a:prstDash val="sysDot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209550</xdr:colOff>
      <xdr:row>25</xdr:row>
      <xdr:rowOff>152400</xdr:rowOff>
    </xdr:from>
    <xdr:to>
      <xdr:col>23</xdr:col>
      <xdr:colOff>381000</xdr:colOff>
      <xdr:row>49</xdr:row>
      <xdr:rowOff>104775</xdr:rowOff>
    </xdr:to>
    <xdr:graphicFrame macro="">
      <xdr:nvGraphicFramePr>
        <xdr:cNvPr id="135172" name="Chart 1">
          <a:extLst>
            <a:ext uri="{FF2B5EF4-FFF2-40B4-BE49-F238E27FC236}">
              <a16:creationId xmlns:a16="http://schemas.microsoft.com/office/drawing/2014/main" id="{00000000-0008-0000-0C00-00000410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182880</xdr:colOff>
      <xdr:row>51</xdr:row>
      <xdr:rowOff>142240</xdr:rowOff>
    </xdr:from>
    <xdr:to>
      <xdr:col>23</xdr:col>
      <xdr:colOff>365760</xdr:colOff>
      <xdr:row>74</xdr:row>
      <xdr:rowOff>132080</xdr:rowOff>
    </xdr:to>
    <xdr:graphicFrame macro="">
      <xdr:nvGraphicFramePr>
        <xdr:cNvPr id="135173" name="Chart 2">
          <a:extLst>
            <a:ext uri="{FF2B5EF4-FFF2-40B4-BE49-F238E27FC236}">
              <a16:creationId xmlns:a16="http://schemas.microsoft.com/office/drawing/2014/main" id="{00000000-0008-0000-0C00-00000510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388620</xdr:colOff>
      <xdr:row>15</xdr:row>
      <xdr:rowOff>7620</xdr:rowOff>
    </xdr:from>
    <xdr:to>
      <xdr:col>25</xdr:col>
      <xdr:colOff>327659</xdr:colOff>
      <xdr:row>35</xdr:row>
      <xdr:rowOff>104775</xdr:rowOff>
    </xdr:to>
    <xdr:graphicFrame macro="">
      <xdr:nvGraphicFramePr>
        <xdr:cNvPr id="30815" name="Chart 2">
          <a:extLst>
            <a:ext uri="{FF2B5EF4-FFF2-40B4-BE49-F238E27FC236}">
              <a16:creationId xmlns:a16="http://schemas.microsoft.com/office/drawing/2014/main" id="{00000000-0008-0000-0D00-00005F7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359092</xdr:colOff>
      <xdr:row>118</xdr:row>
      <xdr:rowOff>15240</xdr:rowOff>
    </xdr:from>
    <xdr:to>
      <xdr:col>43</xdr:col>
      <xdr:colOff>601981</xdr:colOff>
      <xdr:row>161</xdr:row>
      <xdr:rowOff>38100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152400</xdr:colOff>
      <xdr:row>63</xdr:row>
      <xdr:rowOff>53340</xdr:rowOff>
    </xdr:from>
    <xdr:to>
      <xdr:col>41</xdr:col>
      <xdr:colOff>495299</xdr:colOff>
      <xdr:row>107</xdr:row>
      <xdr:rowOff>91440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hared%20drive%20backup\00%20current%20files\2008%20Facts\misc\CAB%20values%20and%20obligations%20from%20CAVAL08%20July%2015%2009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PROPERTY%20TAXES(protected%20info)/2013%20taxrates/2013%20PROPERTY%20TAX%20WORKBOOK.xls" TargetMode="External"/><Relationship Id="rId1" Type="http://schemas.openxmlformats.org/officeDocument/2006/relationships/externalLinkPath" Target="/Budget%20and%20Finance%20Bureau/PROPERTY%20TAXES(protected%20info)/2013%20taxrates/2013%20PROPERTY%20TAX%20WORKBOO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ate%20Certificates%20in%20Excel%20Tabs3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hared%20drive%20backup\2007%20Property%20Tax\2007%20property%20tax%20fact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ligations &amp; CAB Data by Cnty"/>
      <sheetName val="Display Tables by Industry"/>
      <sheetName val="Indust08"/>
      <sheetName val="CAVAL08"/>
    </sheetNames>
    <sheetDataSet>
      <sheetData sheetId="0"/>
      <sheetData sheetId="1"/>
      <sheetData sheetId="2"/>
      <sheetData sheetId="3">
        <row r="1">
          <cell r="B1">
            <v>40022</v>
          </cell>
          <cell r="F1">
            <v>40022</v>
          </cell>
          <cell r="J1">
            <v>40022</v>
          </cell>
          <cell r="N1">
            <v>40022</v>
          </cell>
          <cell r="R1">
            <v>40022</v>
          </cell>
          <cell r="V1">
            <v>40022</v>
          </cell>
          <cell r="Z1">
            <v>40022.821895023146</v>
          </cell>
          <cell r="AD1">
            <v>40022</v>
          </cell>
          <cell r="AH1">
            <v>40022</v>
          </cell>
          <cell r="AL1">
            <v>40022</v>
          </cell>
          <cell r="AP1">
            <v>40022</v>
          </cell>
          <cell r="AT1">
            <v>40022</v>
          </cell>
          <cell r="AX1">
            <v>40022</v>
          </cell>
          <cell r="BB1">
            <v>40022</v>
          </cell>
          <cell r="BF1">
            <v>40022</v>
          </cell>
          <cell r="BJ1">
            <v>40022</v>
          </cell>
          <cell r="BN1">
            <v>40022</v>
          </cell>
          <cell r="BR1">
            <v>40022</v>
          </cell>
          <cell r="BV1">
            <v>40022</v>
          </cell>
          <cell r="BZ1">
            <v>40022</v>
          </cell>
          <cell r="CD1">
            <v>40022</v>
          </cell>
          <cell r="CH1">
            <v>40022</v>
          </cell>
          <cell r="CL1">
            <v>40022</v>
          </cell>
          <cell r="CP1">
            <v>40022.821895023146</v>
          </cell>
          <cell r="CT1">
            <v>40022</v>
          </cell>
          <cell r="CX1">
            <v>40022</v>
          </cell>
          <cell r="DB1">
            <v>40022</v>
          </cell>
          <cell r="DF1">
            <v>40022</v>
          </cell>
          <cell r="DJ1">
            <v>40022</v>
          </cell>
          <cell r="DN1">
            <v>40022</v>
          </cell>
          <cell r="DR1">
            <v>40022</v>
          </cell>
          <cell r="DV1">
            <v>40022</v>
          </cell>
          <cell r="DZ1">
            <v>40022.821895023146</v>
          </cell>
        </row>
        <row r="2">
          <cell r="A2" t="str">
            <v xml:space="preserve">BERNALILLO COUNTY -  - </v>
          </cell>
          <cell r="D2" t="str">
            <v>TAX YEAR  08</v>
          </cell>
          <cell r="E2" t="str">
            <v xml:space="preserve">CATRON COUNTY - CENTRAL AND ASSESSORS VALUATION - </v>
          </cell>
          <cell r="H2" t="str">
            <v>TAX YEAR  08</v>
          </cell>
          <cell r="I2" t="str">
            <v>CHAVES COUNTY - CENTRAL AND ASSESSORS VALUATION -</v>
          </cell>
          <cell r="L2" t="str">
            <v>TAX YEAR  08</v>
          </cell>
          <cell r="M2" t="str">
            <v xml:space="preserve">CIBOLA COUNTY - CENTRAL AND ASSESSORS VALUATION - </v>
          </cell>
          <cell r="P2" t="str">
            <v>TAX YEAR  08</v>
          </cell>
          <cell r="Q2" t="str">
            <v>COLFAX COUNTY - CENTRAL AND ASSESSORS VALUATION -</v>
          </cell>
          <cell r="T2" t="str">
            <v>TAX YEAR  08</v>
          </cell>
          <cell r="U2" t="str">
            <v>CURRY COUNTY - CENTRAL AND ASSESSORS VALUATION -</v>
          </cell>
          <cell r="X2" t="str">
            <v>TAX YEAR  08</v>
          </cell>
          <cell r="Y2" t="str">
            <v xml:space="preserve">DE BACA COUNTY - CENTRAL AND ASSESSORS VALUATION - </v>
          </cell>
          <cell r="AB2" t="str">
            <v>TAX YEAR  08</v>
          </cell>
          <cell r="AC2" t="str">
            <v>DONA ANA COUNTY - CENTRAL AND ASSESSORS VALUATION -</v>
          </cell>
          <cell r="AF2" t="str">
            <v>TAX YEAR  08</v>
          </cell>
          <cell r="AG2" t="str">
            <v>EDDY COUNTY - CENTRAL AND ASSESSORS VALUATION -</v>
          </cell>
          <cell r="AJ2" t="str">
            <v>TAX YEAR  08</v>
          </cell>
          <cell r="AK2" t="str">
            <v>GRANT COUNTY - CENTRAL AND ASSESSORS VALUATION -</v>
          </cell>
          <cell r="AN2" t="str">
            <v>TAX YEAR  08</v>
          </cell>
          <cell r="AO2" t="str">
            <v>GUADALUPE COUNTY - CENTRAL AND ASSESSORS VALUATION -</v>
          </cell>
          <cell r="AR2" t="str">
            <v>TAX YEAR  08</v>
          </cell>
          <cell r="AS2" t="str">
            <v>HARDING COUNTY - CENTRAL AND ASSESSORS VALUATION -</v>
          </cell>
          <cell r="AV2" t="str">
            <v>TAX YEAR  08</v>
          </cell>
          <cell r="AW2" t="str">
            <v>HIDALGO COUNTY - CENTRAL AND ASSESSORS VALUATION -</v>
          </cell>
          <cell r="AZ2" t="str">
            <v>TAX YEAR  08</v>
          </cell>
          <cell r="BA2" t="str">
            <v>LEA COUNTY - CENTRAL AND ASSESSORS VALUATION -</v>
          </cell>
          <cell r="BD2" t="str">
            <v>TAX YEAR  08</v>
          </cell>
          <cell r="BE2" t="str">
            <v>LINCOLN COUNTY - CENTRAL AND ASSESSORS VALUATION -</v>
          </cell>
          <cell r="BH2" t="str">
            <v>TAX YEAR  08</v>
          </cell>
          <cell r="BI2" t="str">
            <v>LOS ALAMOS COUNTY - CENTRAL AND ASSESSORS VALUATION -</v>
          </cell>
          <cell r="BL2" t="str">
            <v>TAX YEAR  08</v>
          </cell>
          <cell r="BM2" t="str">
            <v>LUNA COUNTY - CENTRAL AND ASSESSORS VALUATION -</v>
          </cell>
          <cell r="BP2" t="str">
            <v>TAX YEAR  08</v>
          </cell>
          <cell r="BQ2" t="str">
            <v>MCKINLEY COUNTY - CENTRAL AND ASSESSORS VALUATION -</v>
          </cell>
          <cell r="BT2" t="str">
            <v>TAX YEAR  08</v>
          </cell>
          <cell r="BU2" t="str">
            <v>MORA COUNTY - CENTRAL AND ASSESSORS VALUATION -</v>
          </cell>
          <cell r="BX2" t="str">
            <v>TAX YEAR  08</v>
          </cell>
          <cell r="BY2" t="str">
            <v>OTERO COUNTY - CENTRAL AND ASSESSORS VALUATION -</v>
          </cell>
          <cell r="CB2" t="str">
            <v>TAX YEAR  08</v>
          </cell>
          <cell r="CC2" t="str">
            <v>QUAY COUNTY - CENTRAL AND ASSESSORS VALUATION -</v>
          </cell>
          <cell r="CF2" t="str">
            <v>TAX YEAR  08</v>
          </cell>
          <cell r="CG2" t="str">
            <v>RIO ARRIBA COUNTY - CENTRAL AND ASSESSORS VALUATION -</v>
          </cell>
          <cell r="CJ2" t="str">
            <v>TAX YEAR  08</v>
          </cell>
          <cell r="CK2" t="str">
            <v>ROOSEVELT COUNTY - CENTRAL AND ASSESSORS VALUATION -</v>
          </cell>
          <cell r="CN2" t="str">
            <v>TAX YEAR  08</v>
          </cell>
          <cell r="CO2" t="str">
            <v>SANDOVAL COUNTY - CENTRAL AND ASSESSORS VALUATION -</v>
          </cell>
          <cell r="CR2" t="str">
            <v>TAX YEAR  08</v>
          </cell>
          <cell r="CS2" t="str">
            <v>SAN JUAN COUNTY - CENTRAL AND ASSESSORS VALUATION -</v>
          </cell>
          <cell r="CV2" t="str">
            <v>TAX YEAR  08</v>
          </cell>
          <cell r="CW2" t="str">
            <v>SAN MIGUEL COUNTY - CENTRAL AND ASSESSORS VALUATION -</v>
          </cell>
          <cell r="CZ2" t="str">
            <v>TAX YEAR 2004</v>
          </cell>
          <cell r="DA2" t="str">
            <v>SANTA FE COUNTY - CENTRAL AND ASSESSORS VALUATION -</v>
          </cell>
          <cell r="DD2" t="str">
            <v>TAX YEAR  08</v>
          </cell>
          <cell r="DE2" t="str">
            <v>SIERRA COUNTY - CENTRAL AND ASSESSORS VALUATION -</v>
          </cell>
          <cell r="DH2" t="str">
            <v>TAX YEAR  08</v>
          </cell>
          <cell r="DI2" t="str">
            <v>SOCORRO COUNTY - CENTRAL AND ASSESSORS VALUATION -</v>
          </cell>
          <cell r="DL2" t="str">
            <v>TAX YEAR  08</v>
          </cell>
          <cell r="DM2" t="str">
            <v>TAOS  COUNTY - CENTRAL AND ASSESSORS VALUATION -</v>
          </cell>
          <cell r="DP2" t="str">
            <v>TAX YEAR  08</v>
          </cell>
          <cell r="DQ2" t="str">
            <v>TORRANCE  COUNTY - CENTRAL AND ASSESSORS VALUATION -</v>
          </cell>
          <cell r="DT2" t="str">
            <v>TAX YEAR  08</v>
          </cell>
          <cell r="DU2" t="str">
            <v>UNION COUNTY - CENTRAL AND ASSESSORS VALUATION -</v>
          </cell>
          <cell r="DX2" t="str">
            <v>TAX YEAR  08</v>
          </cell>
          <cell r="DY2" t="str">
            <v>VALENCIA COUNTY - CENTRAL AND ASSESSORS VALUATION -</v>
          </cell>
          <cell r="EB2" t="str">
            <v>TAX YEAR  08</v>
          </cell>
          <cell r="ED2" t="str">
            <v xml:space="preserve">   'COUNTIES</v>
          </cell>
          <cell r="EE2" t="str">
            <v xml:space="preserve">   CENTRAL</v>
          </cell>
          <cell r="EF2" t="str">
            <v>ASSESSOR'S</v>
          </cell>
        </row>
        <row r="3">
          <cell r="EE3" t="str">
            <v xml:space="preserve">   VALUE</v>
          </cell>
          <cell r="EF3" t="str">
            <v>VALUE</v>
          </cell>
        </row>
        <row r="4">
          <cell r="B4" t="str">
            <v>CENTRAL**</v>
          </cell>
          <cell r="C4" t="str">
            <v>ASSESSOR'S*</v>
          </cell>
          <cell r="F4" t="str">
            <v>CENTRAL**</v>
          </cell>
          <cell r="G4" t="str">
            <v>ASSESSOR'S*</v>
          </cell>
          <cell r="J4" t="str">
            <v>CENTRAL**</v>
          </cell>
          <cell r="K4" t="str">
            <v>ASSESSOR'S*</v>
          </cell>
          <cell r="N4" t="str">
            <v>CENTRAL**</v>
          </cell>
          <cell r="O4" t="str">
            <v>ASSESSOR'S*</v>
          </cell>
          <cell r="R4" t="str">
            <v>CENTRAL**</v>
          </cell>
          <cell r="S4" t="str">
            <v>ASSESSOR'S*</v>
          </cell>
          <cell r="V4" t="str">
            <v>CENTRAL**</v>
          </cell>
          <cell r="W4" t="str">
            <v>ASSESSOR'S*</v>
          </cell>
          <cell r="Z4" t="str">
            <v>CENTRAL**</v>
          </cell>
          <cell r="AA4" t="str">
            <v>ASSESSOR'S*</v>
          </cell>
          <cell r="AD4" t="str">
            <v>CENTRAL**</v>
          </cell>
          <cell r="AE4" t="str">
            <v>ASSESSOR'S*</v>
          </cell>
          <cell r="AH4" t="str">
            <v>CENTRAL**</v>
          </cell>
          <cell r="AI4" t="str">
            <v>ASSESSOR'S*</v>
          </cell>
          <cell r="AL4" t="str">
            <v>CENTRAL**</v>
          </cell>
          <cell r="AM4" t="str">
            <v>ASSESSOR'S*</v>
          </cell>
          <cell r="AP4" t="str">
            <v>CENTRAL**</v>
          </cell>
          <cell r="AQ4" t="str">
            <v>ASSESSOR'S*</v>
          </cell>
          <cell r="AT4" t="str">
            <v>CENTRAL**</v>
          </cell>
          <cell r="AU4" t="str">
            <v>ASSESSOR'S*</v>
          </cell>
          <cell r="AX4" t="str">
            <v>CENTRAL**</v>
          </cell>
          <cell r="AY4" t="str">
            <v>ASSESSOR'S*</v>
          </cell>
          <cell r="BB4" t="str">
            <v>CENTRAL**</v>
          </cell>
          <cell r="BC4" t="str">
            <v>ASSESSOR'S*</v>
          </cell>
          <cell r="BF4" t="str">
            <v>CENTRAL**</v>
          </cell>
          <cell r="BG4" t="str">
            <v>ASSESSOR'S*</v>
          </cell>
          <cell r="BJ4" t="str">
            <v>CENTRAL**</v>
          </cell>
          <cell r="BK4" t="str">
            <v>ASSESSOR'S*</v>
          </cell>
          <cell r="BN4" t="str">
            <v>CENTRAL**</v>
          </cell>
          <cell r="BO4" t="str">
            <v>ASSESSOR'S*</v>
          </cell>
          <cell r="BR4" t="str">
            <v>CENTRAL**</v>
          </cell>
          <cell r="BS4" t="str">
            <v>ASSESSOR'S*</v>
          </cell>
          <cell r="BV4" t="str">
            <v>CENTRAL**</v>
          </cell>
          <cell r="BW4" t="str">
            <v>ASSESSOR'S*</v>
          </cell>
          <cell r="BZ4" t="str">
            <v>CENTRAL**</v>
          </cell>
          <cell r="CA4" t="str">
            <v>ASSESSOR'S*</v>
          </cell>
          <cell r="CD4" t="str">
            <v>CENTRAL**</v>
          </cell>
          <cell r="CE4" t="str">
            <v>ASSESSOR'S*</v>
          </cell>
          <cell r="CH4" t="str">
            <v>CENTRAL**</v>
          </cell>
          <cell r="CI4" t="str">
            <v>ASSESSOR'S*</v>
          </cell>
          <cell r="CL4" t="str">
            <v>CENTRAL**</v>
          </cell>
          <cell r="CM4" t="str">
            <v>ASSESSOR'S*</v>
          </cell>
          <cell r="CP4" t="str">
            <v>CENTRAL**</v>
          </cell>
          <cell r="CQ4" t="str">
            <v>ASSESSOR'S*</v>
          </cell>
          <cell r="CT4" t="str">
            <v>CENTRAL**</v>
          </cell>
          <cell r="CU4" t="str">
            <v>ASSESSOR'S*</v>
          </cell>
          <cell r="CX4" t="str">
            <v>CENTRAL**</v>
          </cell>
          <cell r="CY4" t="str">
            <v>ASSESSOR'S*</v>
          </cell>
          <cell r="DB4" t="str">
            <v>CENTRAL**</v>
          </cell>
          <cell r="DC4" t="str">
            <v>ASSESSOR'S*</v>
          </cell>
          <cell r="DF4" t="str">
            <v>CENTRAL**</v>
          </cell>
          <cell r="DG4" t="str">
            <v>ASSESSOR'S*</v>
          </cell>
          <cell r="DJ4" t="str">
            <v>CENTRAL**</v>
          </cell>
          <cell r="DK4" t="str">
            <v>ASSESSOR'S*</v>
          </cell>
          <cell r="DN4" t="str">
            <v>CENTRAL**</v>
          </cell>
          <cell r="DO4" t="str">
            <v>ASSESSOR'S*</v>
          </cell>
          <cell r="DR4" t="str">
            <v>CENTRAL**</v>
          </cell>
          <cell r="DS4" t="str">
            <v>ASSESSOR'S*</v>
          </cell>
          <cell r="DV4" t="str">
            <v>CENTRAL**</v>
          </cell>
          <cell r="DW4" t="str">
            <v>ASSESSOR'S*</v>
          </cell>
          <cell r="DZ4" t="str">
            <v>CENTRAL**</v>
          </cell>
          <cell r="EA4" t="str">
            <v>ASSESSOR'S*</v>
          </cell>
        </row>
        <row r="5">
          <cell r="A5" t="str">
            <v>SCHOOL DISTRICT</v>
          </cell>
          <cell r="B5" t="str">
            <v>VALUATION</v>
          </cell>
          <cell r="C5" t="str">
            <v>VALUATION</v>
          </cell>
          <cell r="D5" t="str">
            <v>TOTAL</v>
          </cell>
          <cell r="E5" t="str">
            <v>SCHOOL DISTRICT</v>
          </cell>
          <cell r="F5" t="str">
            <v>VALUATION</v>
          </cell>
          <cell r="G5" t="str">
            <v>VALUATION</v>
          </cell>
          <cell r="H5" t="str">
            <v>TOTAL</v>
          </cell>
          <cell r="I5" t="str">
            <v>SCHOOL DISTRICT</v>
          </cell>
          <cell r="J5" t="str">
            <v>VALUATION</v>
          </cell>
          <cell r="K5" t="str">
            <v>VALUATION</v>
          </cell>
          <cell r="L5" t="str">
            <v>TOTAL</v>
          </cell>
          <cell r="M5" t="str">
            <v>SCHOOL DISTRICT</v>
          </cell>
          <cell r="N5" t="str">
            <v>VALUATION</v>
          </cell>
          <cell r="O5" t="str">
            <v>VALUATION</v>
          </cell>
          <cell r="P5" t="str">
            <v>TOTAL</v>
          </cell>
          <cell r="Q5" t="str">
            <v>SCHOOL DISTRICT</v>
          </cell>
          <cell r="R5" t="str">
            <v>VALUATION</v>
          </cell>
          <cell r="S5" t="str">
            <v>VALUATION</v>
          </cell>
          <cell r="T5" t="str">
            <v>TOTAL</v>
          </cell>
          <cell r="U5" t="str">
            <v>SCHOOL DISTRICT</v>
          </cell>
          <cell r="V5" t="str">
            <v>VALUATION</v>
          </cell>
          <cell r="W5" t="str">
            <v>VALUATION</v>
          </cell>
          <cell r="X5" t="str">
            <v>TOTAL</v>
          </cell>
          <cell r="Y5" t="str">
            <v>SCHOOL DISTRICT</v>
          </cell>
          <cell r="Z5" t="str">
            <v>VALUATION</v>
          </cell>
          <cell r="AA5" t="str">
            <v>VALUATION</v>
          </cell>
          <cell r="AB5" t="str">
            <v>TOTAL</v>
          </cell>
          <cell r="AC5" t="str">
            <v>SCHOOL DISTRICT</v>
          </cell>
          <cell r="AD5" t="str">
            <v>VALUATION</v>
          </cell>
          <cell r="AE5" t="str">
            <v>VALUATION</v>
          </cell>
          <cell r="AF5" t="str">
            <v>TOTAL</v>
          </cell>
          <cell r="AG5" t="str">
            <v>SCHOOL DISTRICT</v>
          </cell>
          <cell r="AH5" t="str">
            <v>VALUATION</v>
          </cell>
          <cell r="AI5" t="str">
            <v>VALUATION</v>
          </cell>
          <cell r="AJ5" t="str">
            <v>TOTAL</v>
          </cell>
          <cell r="AK5" t="str">
            <v>SCHOOL DISTRICT</v>
          </cell>
          <cell r="AL5" t="str">
            <v>VALUATION</v>
          </cell>
          <cell r="AM5" t="str">
            <v>VALUATION</v>
          </cell>
          <cell r="AN5" t="str">
            <v>TOTAL</v>
          </cell>
          <cell r="AO5" t="str">
            <v>SCHOOL DISTRICT</v>
          </cell>
          <cell r="AP5" t="str">
            <v>VALUATION</v>
          </cell>
          <cell r="AQ5" t="str">
            <v>VALUATION</v>
          </cell>
          <cell r="AR5" t="str">
            <v>TOTAL</v>
          </cell>
          <cell r="AS5" t="str">
            <v>SCHOOL DISTRICT</v>
          </cell>
          <cell r="AT5" t="str">
            <v>VALUATION</v>
          </cell>
          <cell r="AU5" t="str">
            <v>VALUATION</v>
          </cell>
          <cell r="AV5" t="str">
            <v>TOTAL</v>
          </cell>
          <cell r="AW5" t="str">
            <v>SCHOOL DISTRICT</v>
          </cell>
          <cell r="AX5" t="str">
            <v>VALUATION</v>
          </cell>
          <cell r="AY5" t="str">
            <v>VALUATION</v>
          </cell>
          <cell r="AZ5" t="str">
            <v>TOTAL</v>
          </cell>
          <cell r="BA5" t="str">
            <v>SCHOOL DISTRICT</v>
          </cell>
          <cell r="BB5" t="str">
            <v>VALUATION</v>
          </cell>
          <cell r="BC5" t="str">
            <v>VALUATION</v>
          </cell>
          <cell r="BD5" t="str">
            <v>TOTAL</v>
          </cell>
          <cell r="BE5" t="str">
            <v>SCHOOL DISTRICT</v>
          </cell>
          <cell r="BF5" t="str">
            <v>VALUATION</v>
          </cell>
          <cell r="BG5" t="str">
            <v>VALUATION</v>
          </cell>
          <cell r="BH5" t="str">
            <v>TOTAL</v>
          </cell>
          <cell r="BI5" t="str">
            <v>SCHOOL DISTRICT</v>
          </cell>
          <cell r="BJ5" t="str">
            <v>VALUATION</v>
          </cell>
          <cell r="BK5" t="str">
            <v>VALUATION</v>
          </cell>
          <cell r="BL5" t="str">
            <v>TOTAL</v>
          </cell>
          <cell r="BM5" t="str">
            <v>SCHOOL DISTRICT</v>
          </cell>
          <cell r="BN5" t="str">
            <v>VALUATION</v>
          </cell>
          <cell r="BO5" t="str">
            <v>VALUATION</v>
          </cell>
          <cell r="BP5" t="str">
            <v>TOTAL</v>
          </cell>
          <cell r="BQ5" t="str">
            <v>SCHOOL DISTRICT</v>
          </cell>
          <cell r="BR5" t="str">
            <v>VALUATION</v>
          </cell>
          <cell r="BS5" t="str">
            <v>VALUATION</v>
          </cell>
          <cell r="BT5" t="str">
            <v>TOTAL</v>
          </cell>
          <cell r="BU5" t="str">
            <v>SCHOOL DISTRICT</v>
          </cell>
          <cell r="BV5" t="str">
            <v>VALUATION</v>
          </cell>
          <cell r="BW5" t="str">
            <v>VALUATION</v>
          </cell>
          <cell r="BX5" t="str">
            <v>TOTAL</v>
          </cell>
          <cell r="BY5" t="str">
            <v>SCHOOL DISTRICT</v>
          </cell>
          <cell r="BZ5" t="str">
            <v>VALUATION</v>
          </cell>
          <cell r="CA5" t="str">
            <v>VALUATION</v>
          </cell>
          <cell r="CB5" t="str">
            <v>TOTAL</v>
          </cell>
          <cell r="CC5" t="str">
            <v>SCHOOL DISTRICT</v>
          </cell>
          <cell r="CD5" t="str">
            <v>VALUATION</v>
          </cell>
          <cell r="CE5" t="str">
            <v>VALUATION</v>
          </cell>
          <cell r="CF5" t="str">
            <v>TOTAL</v>
          </cell>
          <cell r="CG5" t="str">
            <v>SCHOOL DISTRICT</v>
          </cell>
          <cell r="CH5" t="str">
            <v>VALUATION</v>
          </cell>
          <cell r="CI5" t="str">
            <v>VALUATION</v>
          </cell>
          <cell r="CJ5" t="str">
            <v>TOTAL</v>
          </cell>
          <cell r="CK5" t="str">
            <v>SCHOOL DISTRICT</v>
          </cell>
          <cell r="CL5" t="str">
            <v>VALUATION</v>
          </cell>
          <cell r="CM5" t="str">
            <v>VALUATION</v>
          </cell>
          <cell r="CN5" t="str">
            <v>TOTAL</v>
          </cell>
          <cell r="CO5" t="str">
            <v>SCHOOL DISTRICT</v>
          </cell>
          <cell r="CP5" t="str">
            <v>VALUATION</v>
          </cell>
          <cell r="CQ5" t="str">
            <v>VALUATION</v>
          </cell>
          <cell r="CR5" t="str">
            <v>TOTAL</v>
          </cell>
          <cell r="CS5" t="str">
            <v>SCHOOL DISTRICT</v>
          </cell>
          <cell r="CT5" t="str">
            <v>VALUATION</v>
          </cell>
          <cell r="CU5" t="str">
            <v>VALUATION</v>
          </cell>
          <cell r="CV5" t="str">
            <v>TOTAL</v>
          </cell>
          <cell r="CW5" t="str">
            <v>SCHOOL DISTRICT</v>
          </cell>
          <cell r="CX5" t="str">
            <v>VALUATION</v>
          </cell>
          <cell r="CY5" t="str">
            <v>VALUATION</v>
          </cell>
          <cell r="CZ5" t="str">
            <v>TOTAL</v>
          </cell>
          <cell r="DA5" t="str">
            <v>SCHOOL DISTRICT</v>
          </cell>
          <cell r="DB5" t="str">
            <v>VALUATION</v>
          </cell>
          <cell r="DC5" t="str">
            <v>VALUATION</v>
          </cell>
          <cell r="DD5" t="str">
            <v>TOTAL</v>
          </cell>
          <cell r="DE5" t="str">
            <v>SCHOOL DISTRICT</v>
          </cell>
          <cell r="DF5" t="str">
            <v>VALUATION</v>
          </cell>
          <cell r="DG5" t="str">
            <v>VALUATION</v>
          </cell>
          <cell r="DH5" t="str">
            <v>TOTAL</v>
          </cell>
          <cell r="DI5" t="str">
            <v>SCHOOL DISTRICT</v>
          </cell>
          <cell r="DJ5" t="str">
            <v>VALUATION</v>
          </cell>
          <cell r="DK5" t="str">
            <v>VALUATION</v>
          </cell>
          <cell r="DL5" t="str">
            <v>TOTAL</v>
          </cell>
          <cell r="DM5" t="str">
            <v>SCHOOL DISTRICT</v>
          </cell>
          <cell r="DN5" t="str">
            <v>VALUATION</v>
          </cell>
          <cell r="DO5" t="str">
            <v>VALUATION</v>
          </cell>
          <cell r="DP5" t="str">
            <v>TOTAL</v>
          </cell>
          <cell r="DQ5" t="str">
            <v>SCHOOL DISTRICT</v>
          </cell>
          <cell r="DR5" t="str">
            <v>VALUATION</v>
          </cell>
          <cell r="DS5" t="str">
            <v>VALUATION</v>
          </cell>
          <cell r="DT5" t="str">
            <v>TOTAL</v>
          </cell>
          <cell r="DU5" t="str">
            <v>SCHOOL DISTRICT</v>
          </cell>
          <cell r="DV5" t="str">
            <v>VALUATION</v>
          </cell>
          <cell r="DW5" t="str">
            <v>VALUATION</v>
          </cell>
          <cell r="DX5" t="str">
            <v>TOTAL</v>
          </cell>
          <cell r="DY5" t="str">
            <v>SCHOOL DISTRICT</v>
          </cell>
          <cell r="DZ5" t="str">
            <v>VALUATION</v>
          </cell>
          <cell r="EA5" t="str">
            <v>VALUATION</v>
          </cell>
          <cell r="EB5" t="str">
            <v>TOTAL</v>
          </cell>
        </row>
        <row r="6">
          <cell r="A6" t="str">
            <v>=</v>
          </cell>
          <cell r="B6" t="str">
            <v>=========</v>
          </cell>
          <cell r="C6" t="str">
            <v>=========</v>
          </cell>
          <cell r="D6" t="str">
            <v>=====</v>
          </cell>
          <cell r="E6" t="str">
            <v>===============</v>
          </cell>
          <cell r="F6" t="str">
            <v>=========</v>
          </cell>
          <cell r="G6" t="str">
            <v>=========</v>
          </cell>
          <cell r="H6" t="str">
            <v>=====</v>
          </cell>
          <cell r="I6" t="str">
            <v>===============</v>
          </cell>
          <cell r="J6" t="str">
            <v>=========</v>
          </cell>
          <cell r="K6" t="str">
            <v>=========</v>
          </cell>
          <cell r="L6" t="str">
            <v>=====</v>
          </cell>
          <cell r="M6" t="str">
            <v>===============</v>
          </cell>
          <cell r="N6" t="str">
            <v>=========</v>
          </cell>
          <cell r="O6" t="str">
            <v>=========</v>
          </cell>
          <cell r="P6" t="str">
            <v>=====</v>
          </cell>
          <cell r="Q6" t="str">
            <v>===============</v>
          </cell>
          <cell r="R6" t="str">
            <v>=========</v>
          </cell>
          <cell r="S6" t="str">
            <v>=========</v>
          </cell>
          <cell r="T6" t="str">
            <v>=====</v>
          </cell>
          <cell r="U6" t="str">
            <v>===============</v>
          </cell>
          <cell r="V6" t="str">
            <v>=========</v>
          </cell>
          <cell r="W6" t="str">
            <v>=========</v>
          </cell>
          <cell r="X6" t="str">
            <v>=====</v>
          </cell>
          <cell r="Y6" t="str">
            <v>===============</v>
          </cell>
          <cell r="Z6" t="str">
            <v>=========</v>
          </cell>
          <cell r="AA6" t="str">
            <v>=========</v>
          </cell>
          <cell r="AB6" t="str">
            <v>=====</v>
          </cell>
          <cell r="AC6" t="str">
            <v>===============</v>
          </cell>
          <cell r="AD6" t="str">
            <v>=========</v>
          </cell>
          <cell r="AE6" t="str">
            <v>=========</v>
          </cell>
          <cell r="AF6" t="str">
            <v>=====</v>
          </cell>
          <cell r="AG6" t="str">
            <v>===============</v>
          </cell>
          <cell r="AH6" t="str">
            <v>=========</v>
          </cell>
          <cell r="AI6" t="str">
            <v>=========</v>
          </cell>
          <cell r="AJ6" t="str">
            <v>=====</v>
          </cell>
          <cell r="AK6" t="str">
            <v>===============</v>
          </cell>
          <cell r="AL6" t="str">
            <v>=========</v>
          </cell>
          <cell r="AM6" t="str">
            <v>=========</v>
          </cell>
          <cell r="AN6" t="str">
            <v>=====</v>
          </cell>
          <cell r="AO6" t="str">
            <v>===============</v>
          </cell>
          <cell r="AP6" t="str">
            <v>=========</v>
          </cell>
          <cell r="AQ6" t="str">
            <v>=========</v>
          </cell>
          <cell r="AR6" t="str">
            <v>=====</v>
          </cell>
          <cell r="AS6" t="str">
            <v>===============</v>
          </cell>
          <cell r="AT6" t="str">
            <v>=========</v>
          </cell>
          <cell r="AU6" t="str">
            <v>=========</v>
          </cell>
          <cell r="AV6" t="str">
            <v>=====</v>
          </cell>
          <cell r="AW6" t="str">
            <v>===============</v>
          </cell>
          <cell r="AX6" t="str">
            <v>=========</v>
          </cell>
          <cell r="AY6" t="str">
            <v>=========</v>
          </cell>
          <cell r="AZ6" t="str">
            <v>=====</v>
          </cell>
          <cell r="BA6" t="str">
            <v>===============</v>
          </cell>
          <cell r="BB6" t="str">
            <v>=========</v>
          </cell>
          <cell r="BC6" t="str">
            <v>=========</v>
          </cell>
          <cell r="BD6" t="str">
            <v>=====</v>
          </cell>
          <cell r="BE6" t="str">
            <v>===============</v>
          </cell>
          <cell r="BF6" t="str">
            <v>=========</v>
          </cell>
          <cell r="BG6" t="str">
            <v>=========</v>
          </cell>
          <cell r="BH6" t="str">
            <v>=====</v>
          </cell>
          <cell r="BI6" t="str">
            <v>===============</v>
          </cell>
          <cell r="BJ6" t="str">
            <v>=========</v>
          </cell>
          <cell r="BK6" t="str">
            <v>=========</v>
          </cell>
          <cell r="BL6" t="str">
            <v>=====</v>
          </cell>
          <cell r="BM6" t="str">
            <v>===============</v>
          </cell>
          <cell r="BN6" t="str">
            <v>=========</v>
          </cell>
          <cell r="BO6" t="str">
            <v>=========</v>
          </cell>
          <cell r="BP6" t="str">
            <v>=====</v>
          </cell>
          <cell r="BQ6" t="str">
            <v>===============</v>
          </cell>
          <cell r="BR6" t="str">
            <v>=========</v>
          </cell>
          <cell r="BS6" t="str">
            <v>=========</v>
          </cell>
          <cell r="BT6" t="str">
            <v>=====</v>
          </cell>
          <cell r="BU6" t="str">
            <v>===============</v>
          </cell>
          <cell r="BV6" t="str">
            <v>=========</v>
          </cell>
          <cell r="BW6" t="str">
            <v>=========</v>
          </cell>
          <cell r="BX6" t="str">
            <v>=====</v>
          </cell>
          <cell r="BY6" t="str">
            <v>===============</v>
          </cell>
          <cell r="BZ6" t="str">
            <v>=========</v>
          </cell>
          <cell r="CA6" t="str">
            <v>=========</v>
          </cell>
          <cell r="CB6" t="str">
            <v>=====</v>
          </cell>
          <cell r="CC6" t="str">
            <v>===============</v>
          </cell>
          <cell r="CD6" t="str">
            <v>=========</v>
          </cell>
          <cell r="CE6" t="str">
            <v>=========</v>
          </cell>
          <cell r="CF6" t="str">
            <v>=====</v>
          </cell>
          <cell r="CG6" t="str">
            <v>===============</v>
          </cell>
          <cell r="CH6" t="str">
            <v>=========</v>
          </cell>
          <cell r="CI6" t="str">
            <v>=========</v>
          </cell>
          <cell r="CJ6" t="str">
            <v>=====</v>
          </cell>
          <cell r="CK6" t="str">
            <v>===============</v>
          </cell>
          <cell r="CL6" t="str">
            <v>=========</v>
          </cell>
          <cell r="CM6" t="str">
            <v>=========</v>
          </cell>
          <cell r="CN6" t="str">
            <v>=====</v>
          </cell>
          <cell r="CO6" t="str">
            <v>===============</v>
          </cell>
          <cell r="CP6" t="str">
            <v>=========</v>
          </cell>
          <cell r="CQ6" t="str">
            <v>=========</v>
          </cell>
          <cell r="CR6" t="str">
            <v>=====</v>
          </cell>
          <cell r="CS6" t="str">
            <v>===============</v>
          </cell>
          <cell r="CT6" t="str">
            <v>=========</v>
          </cell>
          <cell r="CU6" t="str">
            <v>=========</v>
          </cell>
          <cell r="CV6" t="str">
            <v>=====</v>
          </cell>
          <cell r="CW6" t="str">
            <v>===============</v>
          </cell>
          <cell r="CX6" t="str">
            <v>=========</v>
          </cell>
          <cell r="CY6" t="str">
            <v>=========</v>
          </cell>
          <cell r="CZ6" t="str">
            <v>=====</v>
          </cell>
          <cell r="DA6" t="str">
            <v>===============</v>
          </cell>
          <cell r="DB6" t="str">
            <v>=========</v>
          </cell>
          <cell r="DC6" t="str">
            <v>=========</v>
          </cell>
          <cell r="DD6" t="str">
            <v>=====</v>
          </cell>
          <cell r="DE6" t="str">
            <v>===============</v>
          </cell>
          <cell r="DF6" t="str">
            <v>=========</v>
          </cell>
          <cell r="DG6" t="str">
            <v>=========</v>
          </cell>
          <cell r="DH6" t="str">
            <v>=====</v>
          </cell>
          <cell r="DI6" t="str">
            <v>===============</v>
          </cell>
          <cell r="DJ6" t="str">
            <v>=========</v>
          </cell>
          <cell r="DK6" t="str">
            <v>=========</v>
          </cell>
          <cell r="DL6" t="str">
            <v>=====</v>
          </cell>
          <cell r="DM6" t="str">
            <v>===============</v>
          </cell>
          <cell r="DN6" t="str">
            <v>=========</v>
          </cell>
          <cell r="DO6" t="str">
            <v>=========</v>
          </cell>
          <cell r="DP6" t="str">
            <v>=====</v>
          </cell>
          <cell r="DQ6" t="str">
            <v>===============</v>
          </cell>
          <cell r="DR6" t="str">
            <v>=========</v>
          </cell>
          <cell r="DS6" t="str">
            <v>=========</v>
          </cell>
          <cell r="DT6" t="str">
            <v>=====</v>
          </cell>
          <cell r="DU6" t="str">
            <v>===============</v>
          </cell>
          <cell r="DV6" t="str">
            <v>=========</v>
          </cell>
          <cell r="DW6" t="str">
            <v>=========</v>
          </cell>
          <cell r="DX6" t="str">
            <v>=====</v>
          </cell>
          <cell r="DY6" t="str">
            <v>===============</v>
          </cell>
          <cell r="DZ6" t="str">
            <v>=========</v>
          </cell>
          <cell r="EA6" t="str">
            <v>=========</v>
          </cell>
          <cell r="EB6" t="str">
            <v>=====</v>
          </cell>
          <cell r="ED6" t="str">
            <v>BERNALILLO</v>
          </cell>
          <cell r="EE6">
            <v>479076818</v>
          </cell>
          <cell r="EF6">
            <v>13497015187</v>
          </cell>
        </row>
        <row r="7">
          <cell r="ED7" t="str">
            <v>CATRON</v>
          </cell>
          <cell r="EE7">
            <v>17849048</v>
          </cell>
          <cell r="EF7">
            <v>90841105</v>
          </cell>
        </row>
        <row r="8">
          <cell r="A8" t="str">
            <v>12-IN NON-RES</v>
          </cell>
          <cell r="B8">
            <v>374068647</v>
          </cell>
          <cell r="C8">
            <v>2977556838</v>
          </cell>
          <cell r="D8">
            <v>3351625485</v>
          </cell>
          <cell r="E8" t="str">
            <v>1-IN NON-RES</v>
          </cell>
          <cell r="F8">
            <v>1297973</v>
          </cell>
          <cell r="G8">
            <v>1768533</v>
          </cell>
          <cell r="H8">
            <v>3066506</v>
          </cell>
          <cell r="I8" t="str">
            <v>1-IN NON-RES</v>
          </cell>
          <cell r="J8">
            <v>20202879</v>
          </cell>
          <cell r="K8">
            <v>188839287</v>
          </cell>
          <cell r="L8">
            <v>209042166</v>
          </cell>
          <cell r="M8" t="str">
            <v>3-IN NON-RES</v>
          </cell>
          <cell r="N8">
            <v>7071474</v>
          </cell>
          <cell r="O8">
            <v>47586917</v>
          </cell>
          <cell r="P8">
            <v>54658391</v>
          </cell>
          <cell r="Q8" t="str">
            <v>3-IN NON-RES</v>
          </cell>
          <cell r="R8">
            <v>646293</v>
          </cell>
          <cell r="S8">
            <v>2206992</v>
          </cell>
          <cell r="T8">
            <v>2853285</v>
          </cell>
          <cell r="U8" t="str">
            <v>1-IN NON-RES</v>
          </cell>
          <cell r="V8">
            <v>24511607</v>
          </cell>
          <cell r="W8">
            <v>95974405</v>
          </cell>
          <cell r="X8">
            <v>120486012</v>
          </cell>
          <cell r="Y8" t="str">
            <v>20-IN NON-RES</v>
          </cell>
          <cell r="Z8">
            <v>1204369</v>
          </cell>
          <cell r="AA8">
            <v>2132878</v>
          </cell>
          <cell r="AB8">
            <v>3337247</v>
          </cell>
          <cell r="AC8" t="str">
            <v>2-IN NON-RES</v>
          </cell>
          <cell r="AD8">
            <v>48821813</v>
          </cell>
          <cell r="AE8">
            <v>584773824</v>
          </cell>
          <cell r="AF8">
            <v>633595637</v>
          </cell>
          <cell r="AG8" t="str">
            <v>C-IN NON-RES</v>
          </cell>
          <cell r="AH8">
            <v>15582495</v>
          </cell>
          <cell r="AI8">
            <v>96785823</v>
          </cell>
          <cell r="AJ8">
            <v>112368318</v>
          </cell>
          <cell r="AK8" t="str">
            <v>1-IN NON-RES</v>
          </cell>
          <cell r="AL8">
            <v>7474833</v>
          </cell>
          <cell r="AM8">
            <v>62566210</v>
          </cell>
          <cell r="AN8">
            <v>70041043</v>
          </cell>
          <cell r="AO8" t="str">
            <v>8-IN NON-RES</v>
          </cell>
          <cell r="AP8">
            <v>3290677</v>
          </cell>
          <cell r="AQ8">
            <v>24697681</v>
          </cell>
          <cell r="AR8">
            <v>27988358</v>
          </cell>
          <cell r="AS8" t="str">
            <v>3-IN NON-RES</v>
          </cell>
          <cell r="AT8">
            <v>148901</v>
          </cell>
          <cell r="AU8">
            <v>481738</v>
          </cell>
          <cell r="AV8">
            <v>630639</v>
          </cell>
          <cell r="AW8" t="str">
            <v>1-IN NON-RES</v>
          </cell>
          <cell r="AX8">
            <v>5112583</v>
          </cell>
          <cell r="AY8">
            <v>17041022</v>
          </cell>
          <cell r="AZ8">
            <v>22153605</v>
          </cell>
          <cell r="BA8" t="str">
            <v>1-IN NON-RES</v>
          </cell>
          <cell r="BB8">
            <v>4893608</v>
          </cell>
          <cell r="BC8">
            <v>12094640</v>
          </cell>
          <cell r="BD8">
            <v>16988248</v>
          </cell>
          <cell r="BE8" t="str">
            <v>3-IN NON-RES</v>
          </cell>
          <cell r="BF8">
            <v>7441156</v>
          </cell>
          <cell r="BG8">
            <v>75737697</v>
          </cell>
          <cell r="BH8">
            <v>83178853</v>
          </cell>
          <cell r="BI8" t="str">
            <v>1  NON-RES</v>
          </cell>
          <cell r="BJ8">
            <v>8046650</v>
          </cell>
          <cell r="BK8">
            <v>95550310</v>
          </cell>
          <cell r="BL8">
            <v>103596960</v>
          </cell>
          <cell r="BM8" t="str">
            <v>1-IN NON-RES</v>
          </cell>
          <cell r="BN8">
            <v>47223018</v>
          </cell>
          <cell r="BO8">
            <v>57306233</v>
          </cell>
          <cell r="BP8">
            <v>104529251</v>
          </cell>
          <cell r="BQ8" t="str">
            <v>1-IN NON-RES</v>
          </cell>
          <cell r="BR8">
            <v>7832793</v>
          </cell>
          <cell r="BS8">
            <v>147501760</v>
          </cell>
          <cell r="BT8">
            <v>155334553</v>
          </cell>
          <cell r="BU8" t="str">
            <v>1 NON-RES</v>
          </cell>
          <cell r="BV8">
            <v>3217831</v>
          </cell>
          <cell r="BW8">
            <v>18017777</v>
          </cell>
          <cell r="BX8">
            <v>21235608</v>
          </cell>
          <cell r="BY8" t="str">
            <v>1-IN NON-RES</v>
          </cell>
          <cell r="BZ8">
            <v>12107531</v>
          </cell>
          <cell r="CA8">
            <v>107020762</v>
          </cell>
          <cell r="CB8">
            <v>119128293</v>
          </cell>
          <cell r="CC8" t="str">
            <v>1-IN NON-RES</v>
          </cell>
          <cell r="CD8">
            <v>3835779</v>
          </cell>
          <cell r="CE8">
            <v>19605489</v>
          </cell>
          <cell r="CF8">
            <v>23441268</v>
          </cell>
          <cell r="CG8" t="str">
            <v>19-IN NON-RES</v>
          </cell>
          <cell r="CH8">
            <v>897850</v>
          </cell>
          <cell r="CI8">
            <v>8314103</v>
          </cell>
          <cell r="CJ8">
            <v>9211953</v>
          </cell>
          <cell r="CK8" t="str">
            <v>1-IN NON-RES</v>
          </cell>
          <cell r="CL8">
            <v>6560930</v>
          </cell>
          <cell r="CM8">
            <v>23548493</v>
          </cell>
          <cell r="CN8">
            <v>30109423</v>
          </cell>
          <cell r="CO8" t="str">
            <v>1-IN NON-RES</v>
          </cell>
          <cell r="CP8">
            <v>10925882</v>
          </cell>
          <cell r="CQ8">
            <v>57628935</v>
          </cell>
          <cell r="CR8">
            <v>68554817</v>
          </cell>
          <cell r="CS8" t="str">
            <v>2-IN NON-RES</v>
          </cell>
          <cell r="CT8">
            <v>3290642</v>
          </cell>
          <cell r="CU8">
            <v>21670350</v>
          </cell>
          <cell r="CV8">
            <v>24960992</v>
          </cell>
          <cell r="CW8" t="str">
            <v>1-IN NON-RES</v>
          </cell>
          <cell r="CX8">
            <v>1430952</v>
          </cell>
          <cell r="CY8">
            <v>13206505</v>
          </cell>
          <cell r="CZ8">
            <v>14637457</v>
          </cell>
          <cell r="DA8" t="str">
            <v>C-IN NON-RES</v>
          </cell>
          <cell r="DB8">
            <v>51777253</v>
          </cell>
          <cell r="DC8">
            <v>1009948400</v>
          </cell>
          <cell r="DD8">
            <v>1061725653</v>
          </cell>
          <cell r="DE8" t="str">
            <v>6-IN NON-RES</v>
          </cell>
          <cell r="DF8">
            <v>2281127</v>
          </cell>
          <cell r="DG8">
            <v>29793293</v>
          </cell>
          <cell r="DH8">
            <v>32074420</v>
          </cell>
          <cell r="DI8" t="str">
            <v>1-IN NON-RES</v>
          </cell>
          <cell r="DJ8">
            <v>3765372</v>
          </cell>
          <cell r="DK8">
            <v>28387526</v>
          </cell>
          <cell r="DL8">
            <v>32152898</v>
          </cell>
          <cell r="DM8" t="str">
            <v>1-IN NON-RES</v>
          </cell>
          <cell r="DN8">
            <v>8316205</v>
          </cell>
          <cell r="DO8">
            <v>139524584</v>
          </cell>
          <cell r="DP8">
            <v>147840789</v>
          </cell>
          <cell r="DQ8" t="str">
            <v>7-IN NON-RES</v>
          </cell>
          <cell r="DR8">
            <v>667040</v>
          </cell>
          <cell r="DS8">
            <v>13483698</v>
          </cell>
          <cell r="DT8">
            <v>14150738</v>
          </cell>
          <cell r="DU8" t="str">
            <v>1-IN NON-RES</v>
          </cell>
          <cell r="DV8">
            <v>1991560</v>
          </cell>
          <cell r="DW8">
            <v>7726092</v>
          </cell>
          <cell r="DX8">
            <v>9717652</v>
          </cell>
          <cell r="DY8" t="str">
            <v>1-IN NON-RES</v>
          </cell>
          <cell r="DZ8">
            <v>8361871</v>
          </cell>
          <cell r="EA8">
            <v>72311984</v>
          </cell>
          <cell r="EB8">
            <v>80673855</v>
          </cell>
          <cell r="ED8" t="str">
            <v>CHAVES</v>
          </cell>
          <cell r="EE8">
            <v>111517485</v>
          </cell>
          <cell r="EF8">
            <v>757066572</v>
          </cell>
        </row>
        <row r="9">
          <cell r="A9" t="str">
            <v>12-IN RESIDENTIAL</v>
          </cell>
          <cell r="C9">
            <v>8229386337</v>
          </cell>
          <cell r="D9">
            <v>8229386337</v>
          </cell>
          <cell r="E9" t="str">
            <v>1-IN RESIDENTIAL</v>
          </cell>
          <cell r="G9">
            <v>2214908</v>
          </cell>
          <cell r="H9">
            <v>2214908</v>
          </cell>
          <cell r="I9" t="str">
            <v>1-IN RESIDENTIAL</v>
          </cell>
          <cell r="K9">
            <v>344093126</v>
          </cell>
          <cell r="L9">
            <v>344093126</v>
          </cell>
          <cell r="M9" t="str">
            <v>3-IN RESIDENTIAL</v>
          </cell>
          <cell r="O9">
            <v>47532394</v>
          </cell>
          <cell r="P9">
            <v>47532394</v>
          </cell>
          <cell r="Q9" t="str">
            <v>3-IN RESIDENTIAL</v>
          </cell>
          <cell r="R9">
            <v>0</v>
          </cell>
          <cell r="S9">
            <v>7823502</v>
          </cell>
          <cell r="T9">
            <v>7823502</v>
          </cell>
          <cell r="U9" t="str">
            <v>1-IN RESIDENTIAL</v>
          </cell>
          <cell r="W9">
            <v>277607110</v>
          </cell>
          <cell r="X9">
            <v>277607110</v>
          </cell>
          <cell r="Y9" t="str">
            <v>20-IN RESIDENTIAL</v>
          </cell>
          <cell r="AA9">
            <v>4455499</v>
          </cell>
          <cell r="AB9">
            <v>4455499</v>
          </cell>
          <cell r="AC9" t="str">
            <v>2-IN RESIDENTIAL</v>
          </cell>
          <cell r="AE9">
            <v>1236578849</v>
          </cell>
          <cell r="AF9">
            <v>1236578849</v>
          </cell>
          <cell r="AG9" t="str">
            <v>C-IN RESIDENTIAL</v>
          </cell>
          <cell r="AI9">
            <v>187825636</v>
          </cell>
          <cell r="AJ9">
            <v>187825636</v>
          </cell>
          <cell r="AK9" t="str">
            <v>1-IN RESIDENTIAL</v>
          </cell>
          <cell r="AM9">
            <v>110156616</v>
          </cell>
          <cell r="AN9">
            <v>110156616</v>
          </cell>
          <cell r="AO9" t="str">
            <v>8-IN RESIDENTIAL</v>
          </cell>
          <cell r="AP9">
            <v>0</v>
          </cell>
          <cell r="AQ9">
            <v>12749515</v>
          </cell>
          <cell r="AR9">
            <v>12749515</v>
          </cell>
          <cell r="AS9" t="str">
            <v>3-IN RESIDENTIAL</v>
          </cell>
          <cell r="AT9">
            <v>0</v>
          </cell>
          <cell r="AU9">
            <v>1047204</v>
          </cell>
          <cell r="AV9">
            <v>1047204</v>
          </cell>
          <cell r="AW9" t="str">
            <v>1-IN RESIDENTIAL</v>
          </cell>
          <cell r="AY9">
            <v>8723141</v>
          </cell>
          <cell r="AZ9">
            <v>8723141</v>
          </cell>
          <cell r="BA9" t="str">
            <v>1-IN RESIDENTIAL</v>
          </cell>
          <cell r="BB9">
            <v>0</v>
          </cell>
          <cell r="BC9">
            <v>39544340</v>
          </cell>
          <cell r="BD9">
            <v>39544340</v>
          </cell>
          <cell r="BE9" t="str">
            <v>3-IN RESIDENTIAL</v>
          </cell>
          <cell r="BF9">
            <v>0</v>
          </cell>
          <cell r="BG9">
            <v>310651511</v>
          </cell>
          <cell r="BH9">
            <v>310651511</v>
          </cell>
          <cell r="BI9" t="str">
            <v>1  RESIDENTIAL</v>
          </cell>
          <cell r="BJ9">
            <v>0</v>
          </cell>
          <cell r="BK9">
            <v>632261630</v>
          </cell>
          <cell r="BL9">
            <v>632261630</v>
          </cell>
          <cell r="BM9" t="str">
            <v>1-IN RESIDENTIAL</v>
          </cell>
          <cell r="BO9">
            <v>110194125</v>
          </cell>
          <cell r="BP9">
            <v>110194125</v>
          </cell>
          <cell r="BQ9" t="str">
            <v>1-IN RESIDENTIAL</v>
          </cell>
          <cell r="BS9">
            <v>187734130</v>
          </cell>
          <cell r="BT9">
            <v>187734130</v>
          </cell>
          <cell r="BU9" t="str">
            <v>1 RESIDENTIAL</v>
          </cell>
          <cell r="BW9">
            <v>41034994</v>
          </cell>
          <cell r="BX9">
            <v>41034994</v>
          </cell>
          <cell r="BY9" t="str">
            <v>1-IN RESIDENTIAL</v>
          </cell>
          <cell r="BZ9">
            <v>0</v>
          </cell>
          <cell r="CA9">
            <v>301333464</v>
          </cell>
          <cell r="CB9">
            <v>301333464</v>
          </cell>
          <cell r="CC9" t="str">
            <v>1-IN RESIDENTIAL</v>
          </cell>
          <cell r="CE9">
            <v>22763493</v>
          </cell>
          <cell r="CF9">
            <v>22763493</v>
          </cell>
          <cell r="CG9" t="str">
            <v>19-IN RESIDENTIAL</v>
          </cell>
          <cell r="CI9">
            <v>11700571</v>
          </cell>
          <cell r="CJ9">
            <v>11700571</v>
          </cell>
          <cell r="CK9" t="str">
            <v>1-IN RESIDENTIAL</v>
          </cell>
          <cell r="CM9">
            <v>68939382</v>
          </cell>
          <cell r="CN9">
            <v>68939382</v>
          </cell>
          <cell r="CO9" t="str">
            <v>1-IN RESIDENTIAL</v>
          </cell>
          <cell r="CQ9">
            <v>92655969</v>
          </cell>
          <cell r="CR9">
            <v>92655969</v>
          </cell>
          <cell r="CS9" t="str">
            <v>2-IN RESIDENTIAL</v>
          </cell>
          <cell r="CU9">
            <v>59578801</v>
          </cell>
          <cell r="CV9">
            <v>59578801</v>
          </cell>
          <cell r="CW9" t="str">
            <v>1-IN RESIDENTIAL</v>
          </cell>
          <cell r="CX9">
            <v>0</v>
          </cell>
          <cell r="CY9">
            <v>30530194</v>
          </cell>
          <cell r="CZ9">
            <v>30530194</v>
          </cell>
          <cell r="DA9" t="str">
            <v>C-IN RESIDENTIAL</v>
          </cell>
          <cell r="DB9">
            <v>0</v>
          </cell>
          <cell r="DC9">
            <v>2441050539</v>
          </cell>
          <cell r="DD9">
            <v>2441050539</v>
          </cell>
          <cell r="DE9" t="str">
            <v>6-IN RESIDENTIAL</v>
          </cell>
          <cell r="DG9">
            <v>49919782</v>
          </cell>
          <cell r="DH9">
            <v>49919782</v>
          </cell>
          <cell r="DI9" t="str">
            <v>1-IN RESIDENTIAL</v>
          </cell>
          <cell r="DK9">
            <v>61774272</v>
          </cell>
          <cell r="DL9">
            <v>61774272</v>
          </cell>
          <cell r="DM9" t="str">
            <v>1-IN RESIDENTIAL</v>
          </cell>
          <cell r="DO9">
            <v>135992234</v>
          </cell>
          <cell r="DP9">
            <v>135992234</v>
          </cell>
          <cell r="DQ9" t="str">
            <v>7-IN RESIDENTIAL</v>
          </cell>
          <cell r="DR9">
            <v>0</v>
          </cell>
          <cell r="DS9">
            <v>5262358</v>
          </cell>
          <cell r="DT9">
            <v>5262358</v>
          </cell>
          <cell r="DU9" t="str">
            <v>1-IN RESIDENTIAL</v>
          </cell>
          <cell r="DV9">
            <v>0</v>
          </cell>
          <cell r="DW9">
            <v>13950010</v>
          </cell>
          <cell r="DX9">
            <v>13950010</v>
          </cell>
          <cell r="DY9" t="str">
            <v>1-IN RESIDENTIAL</v>
          </cell>
          <cell r="EA9">
            <v>197899093</v>
          </cell>
          <cell r="EB9">
            <v>197899093</v>
          </cell>
          <cell r="ED9" t="str">
            <v>CIBOLA</v>
          </cell>
          <cell r="EE9">
            <v>47370224</v>
          </cell>
          <cell r="EF9">
            <v>205618699</v>
          </cell>
        </row>
        <row r="10">
          <cell r="A10" t="str">
            <v>TOTAL</v>
          </cell>
          <cell r="B10">
            <v>374068647</v>
          </cell>
          <cell r="C10">
            <v>11206943175</v>
          </cell>
          <cell r="D10">
            <v>11581011822</v>
          </cell>
          <cell r="E10" t="str">
            <v>TOTAL</v>
          </cell>
          <cell r="F10">
            <v>1297973</v>
          </cell>
          <cell r="G10">
            <v>3983441</v>
          </cell>
          <cell r="H10">
            <v>5281414</v>
          </cell>
          <cell r="I10" t="str">
            <v>TOTAL</v>
          </cell>
          <cell r="J10">
            <v>20202879</v>
          </cell>
          <cell r="K10">
            <v>532932413</v>
          </cell>
          <cell r="L10">
            <v>553135292</v>
          </cell>
          <cell r="M10" t="str">
            <v>TOTAL</v>
          </cell>
          <cell r="N10">
            <v>7071474</v>
          </cell>
          <cell r="O10">
            <v>95119311</v>
          </cell>
          <cell r="P10">
            <v>102190785</v>
          </cell>
          <cell r="Q10" t="str">
            <v>TOTAL</v>
          </cell>
          <cell r="R10">
            <v>646293</v>
          </cell>
          <cell r="S10">
            <v>10030494</v>
          </cell>
          <cell r="T10">
            <v>10676787</v>
          </cell>
          <cell r="U10" t="str">
            <v>TOTAL</v>
          </cell>
          <cell r="V10">
            <v>24511607</v>
          </cell>
          <cell r="W10">
            <v>373581515</v>
          </cell>
          <cell r="X10">
            <v>398093122</v>
          </cell>
          <cell r="Y10" t="str">
            <v>TOTAL</v>
          </cell>
          <cell r="Z10">
            <v>1204369</v>
          </cell>
          <cell r="AA10">
            <v>6588377</v>
          </cell>
          <cell r="AB10">
            <v>7792746</v>
          </cell>
          <cell r="AC10" t="str">
            <v>TOTAL</v>
          </cell>
          <cell r="AD10">
            <v>48821813</v>
          </cell>
          <cell r="AE10">
            <v>1821352673</v>
          </cell>
          <cell r="AF10">
            <v>1870174486</v>
          </cell>
          <cell r="AG10" t="str">
            <v>TOTAL</v>
          </cell>
          <cell r="AH10">
            <v>15582495</v>
          </cell>
          <cell r="AI10">
            <v>284611459</v>
          </cell>
          <cell r="AJ10">
            <v>300193954</v>
          </cell>
          <cell r="AK10" t="str">
            <v>TOTAL</v>
          </cell>
          <cell r="AL10">
            <v>7474833</v>
          </cell>
          <cell r="AM10">
            <v>172722826</v>
          </cell>
          <cell r="AN10">
            <v>180197659</v>
          </cell>
          <cell r="AO10" t="str">
            <v>TOTAL</v>
          </cell>
          <cell r="AP10">
            <v>3290677</v>
          </cell>
          <cell r="AQ10">
            <v>37447196</v>
          </cell>
          <cell r="AR10">
            <v>40737873</v>
          </cell>
          <cell r="AS10" t="str">
            <v>TOTAL</v>
          </cell>
          <cell r="AT10">
            <v>148901</v>
          </cell>
          <cell r="AU10">
            <v>1528942</v>
          </cell>
          <cell r="AV10">
            <v>1677843</v>
          </cell>
          <cell r="AW10" t="str">
            <v>TOTAL</v>
          </cell>
          <cell r="AX10">
            <v>5112583</v>
          </cell>
          <cell r="AY10">
            <v>25764163</v>
          </cell>
          <cell r="AZ10">
            <v>30876746</v>
          </cell>
          <cell r="BA10" t="str">
            <v>TOTAL</v>
          </cell>
          <cell r="BB10">
            <v>4893608</v>
          </cell>
          <cell r="BC10">
            <v>51638980</v>
          </cell>
          <cell r="BD10">
            <v>56532588</v>
          </cell>
          <cell r="BE10" t="str">
            <v>TOTAL</v>
          </cell>
          <cell r="BF10">
            <v>7441156</v>
          </cell>
          <cell r="BG10">
            <v>386389208</v>
          </cell>
          <cell r="BH10">
            <v>393830364</v>
          </cell>
          <cell r="BI10" t="str">
            <v>TOTAL</v>
          </cell>
          <cell r="BJ10">
            <v>8046650</v>
          </cell>
          <cell r="BK10">
            <v>727811940</v>
          </cell>
          <cell r="BL10">
            <v>735858590</v>
          </cell>
          <cell r="BM10" t="str">
            <v>TOTAL</v>
          </cell>
          <cell r="BN10">
            <v>47223018</v>
          </cell>
          <cell r="BO10">
            <v>167500358</v>
          </cell>
          <cell r="BP10">
            <v>214723376</v>
          </cell>
          <cell r="BQ10" t="str">
            <v>TOTAL</v>
          </cell>
          <cell r="BR10">
            <v>7832793</v>
          </cell>
          <cell r="BS10">
            <v>335235890</v>
          </cell>
          <cell r="BT10">
            <v>343068683</v>
          </cell>
          <cell r="BU10" t="str">
            <v>TOTAL</v>
          </cell>
          <cell r="BV10">
            <v>3217831</v>
          </cell>
          <cell r="BW10">
            <v>59052771</v>
          </cell>
          <cell r="BX10">
            <v>62270602</v>
          </cell>
          <cell r="BY10" t="str">
            <v>TOTAL</v>
          </cell>
          <cell r="BZ10">
            <v>12107531</v>
          </cell>
          <cell r="CA10">
            <v>408354226</v>
          </cell>
          <cell r="CB10">
            <v>420461757</v>
          </cell>
          <cell r="CC10" t="str">
            <v>TOTAL</v>
          </cell>
          <cell r="CD10">
            <v>3835779</v>
          </cell>
          <cell r="CE10">
            <v>42368982</v>
          </cell>
          <cell r="CF10">
            <v>46204761</v>
          </cell>
          <cell r="CG10" t="str">
            <v>TOTAL</v>
          </cell>
          <cell r="CH10">
            <v>897850</v>
          </cell>
          <cell r="CI10">
            <v>20014674</v>
          </cell>
          <cell r="CJ10">
            <v>20912524</v>
          </cell>
          <cell r="CK10" t="str">
            <v>TOTAL</v>
          </cell>
          <cell r="CL10">
            <v>6560930</v>
          </cell>
          <cell r="CM10">
            <v>92487875</v>
          </cell>
          <cell r="CN10">
            <v>99048805</v>
          </cell>
          <cell r="CO10" t="str">
            <v>TOTAL</v>
          </cell>
          <cell r="CP10">
            <v>10925882</v>
          </cell>
          <cell r="CQ10">
            <v>150284904</v>
          </cell>
          <cell r="CR10">
            <v>161210786</v>
          </cell>
          <cell r="CS10" t="str">
            <v>TOTAL</v>
          </cell>
          <cell r="CT10">
            <v>3290642</v>
          </cell>
          <cell r="CU10">
            <v>81249151</v>
          </cell>
          <cell r="CV10">
            <v>84539793</v>
          </cell>
          <cell r="CW10" t="str">
            <v>TOTAL</v>
          </cell>
          <cell r="CX10">
            <v>1430952</v>
          </cell>
          <cell r="CY10">
            <v>43736699</v>
          </cell>
          <cell r="CZ10">
            <v>45167651</v>
          </cell>
          <cell r="DA10" t="str">
            <v>TOTAL</v>
          </cell>
          <cell r="DB10">
            <v>51777253</v>
          </cell>
          <cell r="DC10">
            <v>3450998939</v>
          </cell>
          <cell r="DD10">
            <v>3502776192</v>
          </cell>
          <cell r="DE10" t="str">
            <v>TOTAL</v>
          </cell>
          <cell r="DF10">
            <v>2281127</v>
          </cell>
          <cell r="DG10">
            <v>79713075</v>
          </cell>
          <cell r="DH10">
            <v>81994202</v>
          </cell>
          <cell r="DI10" t="str">
            <v>TOTAL</v>
          </cell>
          <cell r="DJ10">
            <v>3765372</v>
          </cell>
          <cell r="DK10">
            <v>90161798</v>
          </cell>
          <cell r="DL10">
            <v>93927170</v>
          </cell>
          <cell r="DM10" t="str">
            <v>TOTAL</v>
          </cell>
          <cell r="DN10">
            <v>8316205</v>
          </cell>
          <cell r="DO10">
            <v>275516818</v>
          </cell>
          <cell r="DP10">
            <v>283833023</v>
          </cell>
          <cell r="DQ10" t="str">
            <v>TOTAL</v>
          </cell>
          <cell r="DR10">
            <v>667040</v>
          </cell>
          <cell r="DS10">
            <v>18746056</v>
          </cell>
          <cell r="DT10">
            <v>19413096</v>
          </cell>
          <cell r="DU10" t="str">
            <v>TOTAL</v>
          </cell>
          <cell r="DV10">
            <v>1991560</v>
          </cell>
          <cell r="DW10">
            <v>21676102</v>
          </cell>
          <cell r="DX10">
            <v>23667662</v>
          </cell>
          <cell r="DY10" t="str">
            <v>TOTAL</v>
          </cell>
          <cell r="DZ10">
            <v>8361871</v>
          </cell>
          <cell r="EA10">
            <v>270211077</v>
          </cell>
          <cell r="EB10">
            <v>278572948</v>
          </cell>
          <cell r="ED10" t="str">
            <v>COLFAX</v>
          </cell>
          <cell r="EE10">
            <v>43286583</v>
          </cell>
          <cell r="EF10">
            <v>511409909</v>
          </cell>
        </row>
        <row r="11">
          <cell r="K11" t="str">
            <v xml:space="preserve"> </v>
          </cell>
          <cell r="BI11" t="str">
            <v>-</v>
          </cell>
          <cell r="BJ11" t="str">
            <v>-</v>
          </cell>
          <cell r="BK11" t="str">
            <v>-</v>
          </cell>
          <cell r="BL11" t="str">
            <v>-</v>
          </cell>
          <cell r="ED11" t="str">
            <v xml:space="preserve"> </v>
          </cell>
        </row>
        <row r="12">
          <cell r="A12" t="str">
            <v>12-IN LR NON-RES</v>
          </cell>
          <cell r="B12">
            <v>1075221</v>
          </cell>
          <cell r="C12">
            <v>24297454</v>
          </cell>
          <cell r="D12">
            <v>25372675</v>
          </cell>
          <cell r="E12" t="str">
            <v>1-OUT NON-RES</v>
          </cell>
          <cell r="F12">
            <v>7288342</v>
          </cell>
          <cell r="G12">
            <v>11035690</v>
          </cell>
          <cell r="H12">
            <v>18324032</v>
          </cell>
          <cell r="I12" t="str">
            <v>1-OUT NON-RES</v>
          </cell>
          <cell r="J12">
            <v>68751297</v>
          </cell>
          <cell r="K12">
            <v>55407087</v>
          </cell>
          <cell r="L12">
            <v>124158384</v>
          </cell>
          <cell r="M12" t="str">
            <v>3-A-IN NON-RES</v>
          </cell>
          <cell r="N12">
            <v>645651</v>
          </cell>
          <cell r="O12">
            <v>24596806</v>
          </cell>
          <cell r="P12">
            <v>25242457</v>
          </cell>
          <cell r="Q12" t="str">
            <v>3-A-IN NON-RES</v>
          </cell>
          <cell r="R12">
            <v>91107</v>
          </cell>
          <cell r="S12">
            <v>6173292</v>
          </cell>
          <cell r="T12">
            <v>6264399</v>
          </cell>
          <cell r="U12" t="str">
            <v>1-OUT NON-RES</v>
          </cell>
          <cell r="V12">
            <v>34417507</v>
          </cell>
          <cell r="W12">
            <v>56613187</v>
          </cell>
          <cell r="X12">
            <v>91030694</v>
          </cell>
          <cell r="Y12" t="str">
            <v>20-OUT NON-RES</v>
          </cell>
          <cell r="Z12">
            <v>23869150</v>
          </cell>
          <cell r="AA12">
            <v>10036455</v>
          </cell>
          <cell r="AB12">
            <v>33905605</v>
          </cell>
          <cell r="AC12" t="str">
            <v>2-D-IN NON-RES</v>
          </cell>
          <cell r="AD12">
            <v>731670</v>
          </cell>
          <cell r="AE12">
            <v>10780517</v>
          </cell>
          <cell r="AF12">
            <v>11512187</v>
          </cell>
          <cell r="AG12" t="str">
            <v>C-OUT NON-RES</v>
          </cell>
          <cell r="AH12">
            <v>245790710</v>
          </cell>
          <cell r="AI12">
            <v>34919947</v>
          </cell>
          <cell r="AJ12">
            <v>280710657</v>
          </cell>
          <cell r="AK12" t="str">
            <v>1-OUT NON-RES</v>
          </cell>
          <cell r="AL12">
            <v>22417633</v>
          </cell>
          <cell r="AM12">
            <v>63709896</v>
          </cell>
          <cell r="AN12">
            <v>86127529</v>
          </cell>
          <cell r="AO12" t="str">
            <v>8-OUT NON-RES</v>
          </cell>
          <cell r="AP12">
            <v>16473902</v>
          </cell>
          <cell r="AQ12">
            <v>8345660</v>
          </cell>
          <cell r="AR12">
            <v>24819562</v>
          </cell>
          <cell r="AS12" t="str">
            <v>3-OUT NON-RES</v>
          </cell>
          <cell r="AT12">
            <v>502263</v>
          </cell>
          <cell r="AU12">
            <v>2629055</v>
          </cell>
          <cell r="AV12">
            <v>3131318</v>
          </cell>
          <cell r="AW12" t="str">
            <v>1-OUT NON-RES</v>
          </cell>
          <cell r="AX12">
            <v>65973721</v>
          </cell>
          <cell r="AY12">
            <v>8089646</v>
          </cell>
          <cell r="AZ12">
            <v>74063367</v>
          </cell>
          <cell r="BA12" t="str">
            <v>1-OUT NON-RES</v>
          </cell>
          <cell r="BB12">
            <v>41675823</v>
          </cell>
          <cell r="BC12">
            <v>34843478</v>
          </cell>
          <cell r="BD12">
            <v>76519301</v>
          </cell>
          <cell r="BE12" t="str">
            <v>35-IN NON-RES</v>
          </cell>
          <cell r="BF12">
            <v>1159979</v>
          </cell>
          <cell r="BG12">
            <v>18447233</v>
          </cell>
          <cell r="BH12">
            <v>19607212</v>
          </cell>
          <cell r="BI12" t="str">
            <v>TOTAL NON-RES</v>
          </cell>
          <cell r="BJ12">
            <v>8046650</v>
          </cell>
          <cell r="BK12">
            <v>95550310</v>
          </cell>
          <cell r="BL12">
            <v>103596960</v>
          </cell>
          <cell r="BM12" t="str">
            <v>1-A-IN NON-RES</v>
          </cell>
          <cell r="BN12">
            <v>1010976</v>
          </cell>
          <cell r="BO12">
            <v>3269998</v>
          </cell>
          <cell r="BP12">
            <v>4280974</v>
          </cell>
          <cell r="BQ12" t="str">
            <v>1-OUT NON-RES</v>
          </cell>
          <cell r="BR12">
            <v>242089965</v>
          </cell>
          <cell r="BS12">
            <v>39987700</v>
          </cell>
          <cell r="BT12">
            <v>282077665</v>
          </cell>
          <cell r="BU12" t="str">
            <v>1-A NON-RES</v>
          </cell>
          <cell r="BV12">
            <v>377814</v>
          </cell>
          <cell r="BW12">
            <v>1394035</v>
          </cell>
          <cell r="BX12">
            <v>1771849</v>
          </cell>
          <cell r="BY12" t="str">
            <v>1-OUT NON-RES</v>
          </cell>
          <cell r="BZ12">
            <v>27176482</v>
          </cell>
          <cell r="CA12">
            <v>33192038</v>
          </cell>
          <cell r="CB12">
            <v>60368520</v>
          </cell>
          <cell r="CC12" t="str">
            <v>1-OUT NON-RES</v>
          </cell>
          <cell r="CD12">
            <v>11537394</v>
          </cell>
          <cell r="CE12">
            <v>6759108</v>
          </cell>
          <cell r="CF12">
            <v>18296502</v>
          </cell>
          <cell r="CG12" t="str">
            <v>19-OUT NON-RES</v>
          </cell>
          <cell r="CH12">
            <v>8809341</v>
          </cell>
          <cell r="CI12">
            <v>27125263</v>
          </cell>
          <cell r="CJ12">
            <v>35934604</v>
          </cell>
          <cell r="CK12" t="str">
            <v>1-OUT NON-RES</v>
          </cell>
          <cell r="CL12">
            <v>17552238</v>
          </cell>
          <cell r="CM12">
            <v>40046484</v>
          </cell>
          <cell r="CN12">
            <v>57598722</v>
          </cell>
          <cell r="CO12" t="str">
            <v>1-OUT NON-RES</v>
          </cell>
          <cell r="CP12">
            <v>18524961</v>
          </cell>
          <cell r="CQ12">
            <v>75904487</v>
          </cell>
          <cell r="CR12">
            <v>94429448</v>
          </cell>
          <cell r="CS12" t="str">
            <v>2-OUT NON-RES</v>
          </cell>
          <cell r="CT12">
            <v>87257851</v>
          </cell>
          <cell r="CU12">
            <v>40134911</v>
          </cell>
          <cell r="CV12">
            <v>127392762</v>
          </cell>
          <cell r="CW12" t="str">
            <v>1-OUT NON-RES</v>
          </cell>
          <cell r="CX12">
            <v>9548364</v>
          </cell>
          <cell r="CY12">
            <v>26036074</v>
          </cell>
          <cell r="CZ12">
            <v>35584438</v>
          </cell>
          <cell r="DA12" t="str">
            <v>C-OUT NON-RES</v>
          </cell>
          <cell r="DB12">
            <v>32468488</v>
          </cell>
          <cell r="DC12">
            <v>535177731</v>
          </cell>
          <cell r="DD12">
            <v>567646219</v>
          </cell>
          <cell r="DE12" t="str">
            <v>6-W-IN NON-RES</v>
          </cell>
          <cell r="DF12">
            <v>66785</v>
          </cell>
          <cell r="DG12">
            <v>1154522</v>
          </cell>
          <cell r="DH12">
            <v>1221307</v>
          </cell>
          <cell r="DI12" t="str">
            <v>1-OUT NON-RES</v>
          </cell>
          <cell r="DJ12">
            <v>16800554</v>
          </cell>
          <cell r="DK12">
            <v>13550083</v>
          </cell>
          <cell r="DL12">
            <v>30350637</v>
          </cell>
          <cell r="DM12" t="str">
            <v>1-OUT NON-RES</v>
          </cell>
          <cell r="DN12">
            <v>10756258</v>
          </cell>
          <cell r="DO12">
            <v>76746638</v>
          </cell>
          <cell r="DP12">
            <v>87502896</v>
          </cell>
          <cell r="DQ12" t="str">
            <v>7-OUT NON-RES</v>
          </cell>
          <cell r="DR12">
            <v>17418075</v>
          </cell>
          <cell r="DS12">
            <v>22028410</v>
          </cell>
          <cell r="DT12">
            <v>39446485</v>
          </cell>
          <cell r="DU12" t="str">
            <v>1-OUT NON-RES</v>
          </cell>
          <cell r="DV12">
            <v>15787390</v>
          </cell>
          <cell r="DW12">
            <v>37101080</v>
          </cell>
          <cell r="DX12">
            <v>52888470</v>
          </cell>
          <cell r="DY12" t="str">
            <v>1-OUT NON-RES</v>
          </cell>
          <cell r="DZ12">
            <v>18942740</v>
          </cell>
          <cell r="EA12">
            <v>40280827</v>
          </cell>
          <cell r="EB12">
            <v>59223567</v>
          </cell>
          <cell r="ED12" t="str">
            <v>CURRY</v>
          </cell>
          <cell r="EE12">
            <v>73894085</v>
          </cell>
          <cell r="EF12">
            <v>520304802</v>
          </cell>
        </row>
        <row r="13">
          <cell r="A13" t="str">
            <v>12-IN LR RESIDENTIAL</v>
          </cell>
          <cell r="C13">
            <v>185975617</v>
          </cell>
          <cell r="D13">
            <v>185975617</v>
          </cell>
          <cell r="E13" t="str">
            <v>1-OUT RESIDENTIAL</v>
          </cell>
          <cell r="G13">
            <v>15742515</v>
          </cell>
          <cell r="H13">
            <v>15742515</v>
          </cell>
          <cell r="I13" t="str">
            <v>1-OUT RESIDENTIAL</v>
          </cell>
          <cell r="K13">
            <v>85093014</v>
          </cell>
          <cell r="L13">
            <v>85093014</v>
          </cell>
          <cell r="M13" t="str">
            <v>3-A-IN RESIDENTIAL</v>
          </cell>
          <cell r="O13">
            <v>7201896</v>
          </cell>
          <cell r="P13">
            <v>7201896</v>
          </cell>
          <cell r="Q13" t="str">
            <v>3-A-IN RESIDENTIAL</v>
          </cell>
          <cell r="R13">
            <v>0</v>
          </cell>
          <cell r="S13">
            <v>8131443</v>
          </cell>
          <cell r="T13">
            <v>8131443</v>
          </cell>
          <cell r="U13" t="str">
            <v>1-OUT RESIDENTIAL</v>
          </cell>
          <cell r="W13">
            <v>37345139</v>
          </cell>
          <cell r="X13">
            <v>37345139</v>
          </cell>
          <cell r="Y13" t="str">
            <v>20-OUT RESIDENTIAL</v>
          </cell>
          <cell r="AA13">
            <v>6105243</v>
          </cell>
          <cell r="AB13">
            <v>6105243</v>
          </cell>
          <cell r="AC13" t="str">
            <v>2-D-IN RESIDENTIAL</v>
          </cell>
          <cell r="AE13">
            <v>40864268</v>
          </cell>
          <cell r="AF13">
            <v>40864268</v>
          </cell>
          <cell r="AG13" t="str">
            <v>C-OUT RESIDENTIAL</v>
          </cell>
          <cell r="AI13">
            <v>63542762</v>
          </cell>
          <cell r="AJ13">
            <v>63542762</v>
          </cell>
          <cell r="AK13" t="str">
            <v>1-OUT RESIDENTIAL</v>
          </cell>
          <cell r="AM13">
            <v>162495828</v>
          </cell>
          <cell r="AN13">
            <v>162495828</v>
          </cell>
          <cell r="AO13" t="str">
            <v>8-OUT RESIDENTIAL</v>
          </cell>
          <cell r="AQ13">
            <v>9228110</v>
          </cell>
          <cell r="AR13">
            <v>9228110</v>
          </cell>
          <cell r="AS13" t="str">
            <v>3-OUT RESIDENTIAL</v>
          </cell>
          <cell r="AT13">
            <v>0</v>
          </cell>
          <cell r="AU13">
            <v>1617488</v>
          </cell>
          <cell r="AV13">
            <v>1617488</v>
          </cell>
          <cell r="AW13" t="str">
            <v>1-OUT RESIDENTIAL</v>
          </cell>
          <cell r="AX13">
            <v>0</v>
          </cell>
          <cell r="AY13">
            <v>2354770</v>
          </cell>
          <cell r="AZ13">
            <v>2354770</v>
          </cell>
          <cell r="BA13" t="str">
            <v>1-OUT RESIDENTIAL</v>
          </cell>
          <cell r="BB13">
            <v>0</v>
          </cell>
          <cell r="BC13">
            <v>22449749</v>
          </cell>
          <cell r="BD13">
            <v>22449749</v>
          </cell>
          <cell r="BE13" t="str">
            <v>35-IN RESIDENTIAL</v>
          </cell>
          <cell r="BG13">
            <v>22074664</v>
          </cell>
          <cell r="BH13">
            <v>22074664</v>
          </cell>
          <cell r="BI13" t="str">
            <v>TOTAL RESIDENTIAL</v>
          </cell>
          <cell r="BJ13">
            <v>0</v>
          </cell>
          <cell r="BK13">
            <v>632261630</v>
          </cell>
          <cell r="BL13">
            <v>632261630</v>
          </cell>
          <cell r="BM13" t="str">
            <v>1-A-IN RESIDENTIAL</v>
          </cell>
          <cell r="BO13">
            <v>6438904</v>
          </cell>
          <cell r="BP13">
            <v>6438904</v>
          </cell>
          <cell r="BQ13" t="str">
            <v>1-OUT RESIDENTIAL</v>
          </cell>
          <cell r="BS13">
            <v>55082240</v>
          </cell>
          <cell r="BT13">
            <v>55082240</v>
          </cell>
          <cell r="BU13" t="str">
            <v>1-A RESIDENTIAL</v>
          </cell>
          <cell r="BW13">
            <v>2140538</v>
          </cell>
          <cell r="BX13">
            <v>2140538</v>
          </cell>
          <cell r="BY13" t="str">
            <v>1-OUT RESIDENTIAL</v>
          </cell>
          <cell r="BZ13">
            <v>0</v>
          </cell>
          <cell r="CA13">
            <v>112764679</v>
          </cell>
          <cell r="CB13">
            <v>112764679</v>
          </cell>
          <cell r="CC13" t="str">
            <v>1-OUT RESIDENTIAL</v>
          </cell>
          <cell r="CE13">
            <v>11561421</v>
          </cell>
          <cell r="CF13">
            <v>11561421</v>
          </cell>
          <cell r="CG13" t="str">
            <v>19-OUT RESIDENTIAL</v>
          </cell>
          <cell r="CI13">
            <v>59791314</v>
          </cell>
          <cell r="CJ13">
            <v>59791314</v>
          </cell>
          <cell r="CK13" t="str">
            <v>1-OUT RESIDENTIAL</v>
          </cell>
          <cell r="CL13">
            <v>0</v>
          </cell>
          <cell r="CM13">
            <v>30342761</v>
          </cell>
          <cell r="CN13">
            <v>30342761</v>
          </cell>
          <cell r="CO13" t="str">
            <v>1-OUT RESIDENTIAL</v>
          </cell>
          <cell r="CQ13">
            <v>310032675</v>
          </cell>
          <cell r="CR13">
            <v>310032675</v>
          </cell>
          <cell r="CS13" t="str">
            <v>2-OUT RESIDENTIAL</v>
          </cell>
          <cell r="CU13">
            <v>114850762</v>
          </cell>
          <cell r="CV13">
            <v>114850762</v>
          </cell>
          <cell r="CW13" t="str">
            <v>1-OUT RESIDENTIAL</v>
          </cell>
          <cell r="CX13">
            <v>0</v>
          </cell>
          <cell r="CY13">
            <v>60956451</v>
          </cell>
          <cell r="CZ13">
            <v>60956451</v>
          </cell>
          <cell r="DA13" t="str">
            <v>C-OUT RESIDENTIAL</v>
          </cell>
          <cell r="DB13">
            <v>0</v>
          </cell>
          <cell r="DC13">
            <v>1989760414</v>
          </cell>
          <cell r="DD13">
            <v>1989760414</v>
          </cell>
          <cell r="DE13" t="str">
            <v>6-W-IN RESIDENTIAL</v>
          </cell>
          <cell r="DG13">
            <v>3454386</v>
          </cell>
          <cell r="DH13">
            <v>3454386</v>
          </cell>
          <cell r="DI13" t="str">
            <v>1-OUT RESIDENTIAL</v>
          </cell>
          <cell r="DK13">
            <v>24319216</v>
          </cell>
          <cell r="DL13">
            <v>24319216</v>
          </cell>
          <cell r="DM13" t="str">
            <v>1-OUT RESIDENTIAL</v>
          </cell>
          <cell r="DO13">
            <v>204268352</v>
          </cell>
          <cell r="DP13">
            <v>204268352</v>
          </cell>
          <cell r="DQ13" t="str">
            <v>7-OUT RESIDENTIAL</v>
          </cell>
          <cell r="DR13">
            <v>0</v>
          </cell>
          <cell r="DS13">
            <v>22682730</v>
          </cell>
          <cell r="DT13">
            <v>22682730</v>
          </cell>
          <cell r="DU13" t="str">
            <v>1-OUT RESIDENTIAL</v>
          </cell>
          <cell r="DV13">
            <v>0</v>
          </cell>
          <cell r="DW13">
            <v>10011447</v>
          </cell>
          <cell r="DX13">
            <v>10011447</v>
          </cell>
          <cell r="DY13" t="str">
            <v>1-OUT RESIDENTIAL</v>
          </cell>
          <cell r="EA13">
            <v>186408118</v>
          </cell>
          <cell r="EB13">
            <v>186408118</v>
          </cell>
          <cell r="ED13" t="str">
            <v>DEBACA</v>
          </cell>
          <cell r="EE13">
            <v>25073519</v>
          </cell>
          <cell r="EF13">
            <v>22730075</v>
          </cell>
        </row>
        <row r="14">
          <cell r="A14" t="str">
            <v>TOTAL</v>
          </cell>
          <cell r="B14">
            <v>1075221</v>
          </cell>
          <cell r="C14">
            <v>210273071</v>
          </cell>
          <cell r="D14">
            <v>211348292</v>
          </cell>
          <cell r="E14" t="str">
            <v>TOTAL</v>
          </cell>
          <cell r="F14">
            <v>7288342</v>
          </cell>
          <cell r="G14">
            <v>26778205</v>
          </cell>
          <cell r="H14">
            <v>34066547</v>
          </cell>
          <cell r="I14" t="str">
            <v>TOTAL</v>
          </cell>
          <cell r="J14">
            <v>68751297</v>
          </cell>
          <cell r="K14">
            <v>140500101</v>
          </cell>
          <cell r="L14">
            <v>209251398</v>
          </cell>
          <cell r="M14" t="str">
            <v>TOTAL</v>
          </cell>
          <cell r="N14">
            <v>645651</v>
          </cell>
          <cell r="O14">
            <v>31798702</v>
          </cell>
          <cell r="P14">
            <v>32444353</v>
          </cell>
          <cell r="Q14" t="str">
            <v>TOTAL</v>
          </cell>
          <cell r="R14">
            <v>91107</v>
          </cell>
          <cell r="S14">
            <v>14304735</v>
          </cell>
          <cell r="T14">
            <v>14395842</v>
          </cell>
          <cell r="U14" t="str">
            <v>TOTAL</v>
          </cell>
          <cell r="V14">
            <v>34417507</v>
          </cell>
          <cell r="W14">
            <v>93958326</v>
          </cell>
          <cell r="X14">
            <v>128375833</v>
          </cell>
          <cell r="Y14" t="str">
            <v>TOTAL</v>
          </cell>
          <cell r="Z14">
            <v>23869150</v>
          </cell>
          <cell r="AA14">
            <v>16141698</v>
          </cell>
          <cell r="AB14">
            <v>40010848</v>
          </cell>
          <cell r="AC14" t="str">
            <v>TOTAL</v>
          </cell>
          <cell r="AD14">
            <v>731670</v>
          </cell>
          <cell r="AE14">
            <v>51644785</v>
          </cell>
          <cell r="AF14">
            <v>52376455</v>
          </cell>
          <cell r="AG14" t="str">
            <v>TOTAL</v>
          </cell>
          <cell r="AH14">
            <v>245790710</v>
          </cell>
          <cell r="AI14">
            <v>98462709</v>
          </cell>
          <cell r="AJ14">
            <v>344253419</v>
          </cell>
          <cell r="AK14" t="str">
            <v>TOTAL</v>
          </cell>
          <cell r="AL14">
            <v>22417633</v>
          </cell>
          <cell r="AM14">
            <v>226205724</v>
          </cell>
          <cell r="AN14">
            <v>248623357</v>
          </cell>
          <cell r="AO14" t="str">
            <v>TOTAL</v>
          </cell>
          <cell r="AP14">
            <v>16473902</v>
          </cell>
          <cell r="AQ14">
            <v>17573770</v>
          </cell>
          <cell r="AR14">
            <v>34047672</v>
          </cell>
          <cell r="AS14" t="str">
            <v>TOTAL</v>
          </cell>
          <cell r="AT14">
            <v>502263</v>
          </cell>
          <cell r="AU14">
            <v>4246543</v>
          </cell>
          <cell r="AV14">
            <v>4748806</v>
          </cell>
          <cell r="AW14" t="str">
            <v>TOTAL</v>
          </cell>
          <cell r="AX14">
            <v>65973721</v>
          </cell>
          <cell r="AY14">
            <v>10444416</v>
          </cell>
          <cell r="AZ14">
            <v>76418137</v>
          </cell>
          <cell r="BA14" t="str">
            <v>TOTAL</v>
          </cell>
          <cell r="BB14">
            <v>41675823</v>
          </cell>
          <cell r="BC14">
            <v>57293227</v>
          </cell>
          <cell r="BD14">
            <v>98969050</v>
          </cell>
          <cell r="BE14" t="str">
            <v>TOTAL</v>
          </cell>
          <cell r="BF14">
            <v>1159979</v>
          </cell>
          <cell r="BG14">
            <v>40521897</v>
          </cell>
          <cell r="BH14">
            <v>41681876</v>
          </cell>
          <cell r="BI14" t="str">
            <v>-</v>
          </cell>
          <cell r="BJ14" t="str">
            <v>-</v>
          </cell>
          <cell r="BK14" t="str">
            <v>-</v>
          </cell>
          <cell r="BL14" t="str">
            <v>-</v>
          </cell>
          <cell r="BM14" t="str">
            <v>TOTAL</v>
          </cell>
          <cell r="BN14">
            <v>1010976</v>
          </cell>
          <cell r="BO14">
            <v>9708902</v>
          </cell>
          <cell r="BP14">
            <v>10719878</v>
          </cell>
          <cell r="BQ14" t="str">
            <v>TOTAL</v>
          </cell>
          <cell r="BR14">
            <v>242089965</v>
          </cell>
          <cell r="BS14">
            <v>95069940</v>
          </cell>
          <cell r="BT14">
            <v>337159905</v>
          </cell>
          <cell r="BU14" t="str">
            <v>TOTAL</v>
          </cell>
          <cell r="BV14">
            <v>377814</v>
          </cell>
          <cell r="BW14">
            <v>3534573</v>
          </cell>
          <cell r="BX14">
            <v>3912387</v>
          </cell>
          <cell r="BY14" t="str">
            <v>TOTAL</v>
          </cell>
          <cell r="BZ14">
            <v>27176482</v>
          </cell>
          <cell r="CA14">
            <v>145956717</v>
          </cell>
          <cell r="CB14">
            <v>173133199</v>
          </cell>
          <cell r="CC14" t="str">
            <v>TOTAL</v>
          </cell>
          <cell r="CD14">
            <v>11537394</v>
          </cell>
          <cell r="CE14">
            <v>18320529</v>
          </cell>
          <cell r="CF14">
            <v>29857923</v>
          </cell>
          <cell r="CG14" t="str">
            <v>TOTAL</v>
          </cell>
          <cell r="CH14">
            <v>8809341</v>
          </cell>
          <cell r="CI14">
            <v>86916577</v>
          </cell>
          <cell r="CJ14">
            <v>95725918</v>
          </cell>
          <cell r="CK14" t="str">
            <v>TOTAL</v>
          </cell>
          <cell r="CL14">
            <v>17552238</v>
          </cell>
          <cell r="CM14">
            <v>70389245</v>
          </cell>
          <cell r="CN14">
            <v>87941483</v>
          </cell>
          <cell r="CO14" t="str">
            <v>TOTAL</v>
          </cell>
          <cell r="CP14">
            <v>18524961</v>
          </cell>
          <cell r="CQ14">
            <v>385937162</v>
          </cell>
          <cell r="CR14">
            <v>404462123</v>
          </cell>
          <cell r="CS14" t="str">
            <v>TOTAL</v>
          </cell>
          <cell r="CT14">
            <v>87257851</v>
          </cell>
          <cell r="CU14">
            <v>154985673</v>
          </cell>
          <cell r="CV14">
            <v>242243524</v>
          </cell>
          <cell r="CW14" t="str">
            <v>TOTAL</v>
          </cell>
          <cell r="CX14">
            <v>9548364</v>
          </cell>
          <cell r="CY14">
            <v>86992525</v>
          </cell>
          <cell r="CZ14">
            <v>96540889</v>
          </cell>
          <cell r="DA14" t="str">
            <v>TOTAL</v>
          </cell>
          <cell r="DB14">
            <v>32468488</v>
          </cell>
          <cell r="DC14">
            <v>2524938145</v>
          </cell>
          <cell r="DD14">
            <v>2557406633</v>
          </cell>
          <cell r="DE14" t="str">
            <v>TOTAL</v>
          </cell>
          <cell r="DF14">
            <v>66785</v>
          </cell>
          <cell r="DG14">
            <v>4608908</v>
          </cell>
          <cell r="DH14">
            <v>4675693</v>
          </cell>
          <cell r="DI14" t="str">
            <v>TOTAL</v>
          </cell>
          <cell r="DJ14">
            <v>16800554</v>
          </cell>
          <cell r="DK14">
            <v>37869299</v>
          </cell>
          <cell r="DL14">
            <v>54669853</v>
          </cell>
          <cell r="DM14" t="str">
            <v>TOTAL</v>
          </cell>
          <cell r="DN14">
            <v>10756258</v>
          </cell>
          <cell r="DO14">
            <v>281014990</v>
          </cell>
          <cell r="DP14">
            <v>291771248</v>
          </cell>
          <cell r="DQ14" t="str">
            <v>TOTAL</v>
          </cell>
          <cell r="DR14">
            <v>17418075</v>
          </cell>
          <cell r="DS14">
            <v>44711140</v>
          </cell>
          <cell r="DT14">
            <v>62129215</v>
          </cell>
          <cell r="DU14" t="str">
            <v>TOTAL</v>
          </cell>
          <cell r="DV14">
            <v>15787390</v>
          </cell>
          <cell r="DW14">
            <v>47112527</v>
          </cell>
          <cell r="DX14">
            <v>62899917</v>
          </cell>
          <cell r="DY14" t="str">
            <v>TOTAL</v>
          </cell>
          <cell r="DZ14">
            <v>18942740</v>
          </cell>
          <cell r="EA14">
            <v>226688945</v>
          </cell>
          <cell r="EB14">
            <v>245631685</v>
          </cell>
          <cell r="ED14" t="str">
            <v>DONA ANA</v>
          </cell>
          <cell r="EE14">
            <v>195264526</v>
          </cell>
          <cell r="EF14">
            <v>3261915864</v>
          </cell>
        </row>
        <row r="15">
          <cell r="Y15" t="str">
            <v>-</v>
          </cell>
          <cell r="Z15" t="str">
            <v>-</v>
          </cell>
          <cell r="AA15" t="str">
            <v>-</v>
          </cell>
          <cell r="AB15" t="str">
            <v>-</v>
          </cell>
          <cell r="BI15" t="str">
            <v>GRAND TOTAL</v>
          </cell>
          <cell r="BJ15">
            <v>8046650</v>
          </cell>
          <cell r="BK15">
            <v>727811940</v>
          </cell>
          <cell r="BL15">
            <v>735858590</v>
          </cell>
          <cell r="ED15" t="str">
            <v>EDDY</v>
          </cell>
          <cell r="EE15">
            <v>471041227</v>
          </cell>
          <cell r="EF15">
            <v>610951536</v>
          </cell>
        </row>
        <row r="16">
          <cell r="A16" t="str">
            <v>12-IN T NON-RES</v>
          </cell>
          <cell r="B16">
            <v>508147</v>
          </cell>
          <cell r="C16">
            <v>2599512</v>
          </cell>
          <cell r="D16">
            <v>3107659</v>
          </cell>
          <cell r="E16" t="str">
            <v>2  NON-RES</v>
          </cell>
          <cell r="F16">
            <v>8170950</v>
          </cell>
          <cell r="G16">
            <v>21442821</v>
          </cell>
          <cell r="H16">
            <v>29613771</v>
          </cell>
          <cell r="I16" t="str">
            <v>1-L  NON-RES</v>
          </cell>
          <cell r="J16">
            <v>0</v>
          </cell>
          <cell r="K16">
            <v>22918</v>
          </cell>
          <cell r="L16">
            <v>22918</v>
          </cell>
          <cell r="M16" t="str">
            <v>3-OUT  NON-RES</v>
          </cell>
          <cell r="N16">
            <v>38728562</v>
          </cell>
          <cell r="O16">
            <v>34923871</v>
          </cell>
          <cell r="P16">
            <v>73652433</v>
          </cell>
          <cell r="Q16" t="str">
            <v>3-B-IN NON-RES</v>
          </cell>
          <cell r="R16">
            <v>1619660</v>
          </cell>
          <cell r="S16">
            <v>95724221</v>
          </cell>
          <cell r="T16">
            <v>97343881</v>
          </cell>
          <cell r="U16" t="str">
            <v>2-IN  NON-RES</v>
          </cell>
          <cell r="V16">
            <v>592835</v>
          </cell>
          <cell r="W16">
            <v>1124574</v>
          </cell>
          <cell r="X16">
            <v>1717409</v>
          </cell>
          <cell r="Y16" t="str">
            <v>TOTAL NON-RES</v>
          </cell>
          <cell r="Z16">
            <v>25073519</v>
          </cell>
          <cell r="AA16">
            <v>12169333</v>
          </cell>
          <cell r="AB16">
            <v>37242852</v>
          </cell>
          <cell r="AC16" t="str">
            <v>2-OUT NON-RES</v>
          </cell>
          <cell r="AD16">
            <v>36181993</v>
          </cell>
          <cell r="AE16">
            <v>133201417</v>
          </cell>
          <cell r="AF16">
            <v>169383410</v>
          </cell>
          <cell r="AG16" t="str">
            <v>10-IN NON-RES</v>
          </cell>
          <cell r="AH16">
            <v>749879</v>
          </cell>
          <cell r="AI16">
            <v>970565</v>
          </cell>
          <cell r="AJ16">
            <v>1720444</v>
          </cell>
          <cell r="AK16" t="str">
            <v>2-H-IN  NON-RES</v>
          </cell>
          <cell r="AL16">
            <v>491556</v>
          </cell>
          <cell r="AM16">
            <v>510116</v>
          </cell>
          <cell r="AN16">
            <v>1001672</v>
          </cell>
          <cell r="AO16" t="str">
            <v>33-IN NON-RES</v>
          </cell>
          <cell r="AP16">
            <v>2144970</v>
          </cell>
          <cell r="AQ16">
            <v>1797378</v>
          </cell>
          <cell r="AR16">
            <v>3942348</v>
          </cell>
          <cell r="AS16" t="str">
            <v>5-IN  NON-RES</v>
          </cell>
          <cell r="AT16">
            <v>120193</v>
          </cell>
          <cell r="AU16">
            <v>106461</v>
          </cell>
          <cell r="AV16">
            <v>226654</v>
          </cell>
          <cell r="AW16" t="str">
            <v>1-A-IN  NON-RES</v>
          </cell>
          <cell r="AX16">
            <v>3518</v>
          </cell>
          <cell r="AY16">
            <v>295125</v>
          </cell>
          <cell r="AZ16">
            <v>298643</v>
          </cell>
          <cell r="BA16" t="str">
            <v>8-IN  NON-RES</v>
          </cell>
          <cell r="BB16">
            <v>8729399</v>
          </cell>
          <cell r="BC16">
            <v>5405641</v>
          </cell>
          <cell r="BD16">
            <v>14135040</v>
          </cell>
          <cell r="BE16" t="str">
            <v>3/35-OUT NON-RES</v>
          </cell>
          <cell r="BF16">
            <v>2319188</v>
          </cell>
          <cell r="BG16">
            <v>24140841</v>
          </cell>
          <cell r="BH16">
            <v>26460029</v>
          </cell>
          <cell r="BI16" t="str">
            <v>=</v>
          </cell>
          <cell r="BJ16" t="str">
            <v>=</v>
          </cell>
          <cell r="BK16" t="str">
            <v>=</v>
          </cell>
          <cell r="BL16" t="str">
            <v>=</v>
          </cell>
          <cell r="BM16" t="str">
            <v>1-OUT NON-RES</v>
          </cell>
          <cell r="BN16">
            <v>70866521</v>
          </cell>
          <cell r="BO16">
            <v>70839591</v>
          </cell>
          <cell r="BP16">
            <v>141706112</v>
          </cell>
          <cell r="BQ16" t="str">
            <v>ZUNI NON-RES</v>
          </cell>
          <cell r="BR16">
            <v>1884177</v>
          </cell>
          <cell r="BS16">
            <v>775590</v>
          </cell>
          <cell r="BT16">
            <v>2659767</v>
          </cell>
          <cell r="BU16" t="str">
            <v>12-IN NON-RES</v>
          </cell>
          <cell r="BV16">
            <v>1054783</v>
          </cell>
          <cell r="BW16">
            <v>512735</v>
          </cell>
          <cell r="BX16">
            <v>1567518</v>
          </cell>
          <cell r="BY16" t="str">
            <v>4-IN NON-RES</v>
          </cell>
          <cell r="BZ16">
            <v>2124097</v>
          </cell>
          <cell r="CA16">
            <v>4372021</v>
          </cell>
          <cell r="CB16">
            <v>6496118</v>
          </cell>
          <cell r="CC16" t="str">
            <v>19-IN NON-RES</v>
          </cell>
          <cell r="CD16">
            <v>94966</v>
          </cell>
          <cell r="CE16">
            <v>120725</v>
          </cell>
          <cell r="CF16">
            <v>215691</v>
          </cell>
          <cell r="CG16" t="str">
            <v>21  NON-RES</v>
          </cell>
          <cell r="CH16">
            <v>54009692</v>
          </cell>
          <cell r="CI16">
            <v>8328417</v>
          </cell>
          <cell r="CJ16">
            <v>62338109</v>
          </cell>
          <cell r="CK16" t="str">
            <v>2-IN NON-RES</v>
          </cell>
          <cell r="CL16">
            <v>334302</v>
          </cell>
          <cell r="CM16">
            <v>281468</v>
          </cell>
          <cell r="CN16">
            <v>615770</v>
          </cell>
          <cell r="CO16" t="str">
            <v>94-OUT NON-RES</v>
          </cell>
          <cell r="CP16">
            <v>5559647</v>
          </cell>
          <cell r="CQ16">
            <v>84385013</v>
          </cell>
          <cell r="CR16">
            <v>89944660</v>
          </cell>
          <cell r="CS16" t="str">
            <v>5-IN NON-RES</v>
          </cell>
          <cell r="CT16">
            <v>23126941</v>
          </cell>
          <cell r="CU16">
            <v>328291553</v>
          </cell>
          <cell r="CV16">
            <v>351418494</v>
          </cell>
          <cell r="CW16" t="str">
            <v>2-IN NON-RES</v>
          </cell>
          <cell r="CX16">
            <v>4911925</v>
          </cell>
          <cell r="CY16">
            <v>42960066</v>
          </cell>
          <cell r="CZ16">
            <v>47871991</v>
          </cell>
          <cell r="DA16" t="str">
            <v>1  NON-RES</v>
          </cell>
          <cell r="DB16">
            <v>5849803</v>
          </cell>
          <cell r="DC16">
            <v>39233283</v>
          </cell>
          <cell r="DD16">
            <v>45083086</v>
          </cell>
          <cell r="DE16" t="str">
            <v>6-OUT NON-RES</v>
          </cell>
          <cell r="DF16">
            <v>22676540</v>
          </cell>
          <cell r="DG16">
            <v>29711904</v>
          </cell>
          <cell r="DH16">
            <v>52388444</v>
          </cell>
          <cell r="DI16" t="str">
            <v>5  NON-RES</v>
          </cell>
          <cell r="DJ16">
            <v>5834041</v>
          </cell>
          <cell r="DK16">
            <v>25500749</v>
          </cell>
          <cell r="DL16">
            <v>31334790</v>
          </cell>
          <cell r="DM16" t="str">
            <v>1-A  NON-RES</v>
          </cell>
          <cell r="DN16">
            <v>3633477</v>
          </cell>
          <cell r="DO16">
            <v>84078378</v>
          </cell>
          <cell r="DP16">
            <v>87711855</v>
          </cell>
          <cell r="DQ16" t="str">
            <v>7-W-IN  NON-RES</v>
          </cell>
          <cell r="DR16">
            <v>301617</v>
          </cell>
          <cell r="DS16">
            <v>195095</v>
          </cell>
          <cell r="DT16">
            <v>496712</v>
          </cell>
          <cell r="DU16" t="str">
            <v>22-D-IN  NON-RES</v>
          </cell>
          <cell r="DV16">
            <v>949525</v>
          </cell>
          <cell r="DW16">
            <v>337648</v>
          </cell>
          <cell r="DX16">
            <v>1287173</v>
          </cell>
          <cell r="DY16" t="str">
            <v>1-IN-BF NON-RES</v>
          </cell>
          <cell r="DZ16">
            <v>1029889</v>
          </cell>
          <cell r="EA16">
            <v>12799382</v>
          </cell>
          <cell r="EB16">
            <v>13829271</v>
          </cell>
        </row>
        <row r="17">
          <cell r="A17" t="str">
            <v>12-IN T RESIDENTIAL</v>
          </cell>
          <cell r="C17">
            <v>6702109</v>
          </cell>
          <cell r="D17">
            <v>6702109</v>
          </cell>
          <cell r="E17" t="str">
            <v>2  RESIDENTIAL</v>
          </cell>
          <cell r="G17">
            <v>33259910</v>
          </cell>
          <cell r="H17">
            <v>33259910</v>
          </cell>
          <cell r="I17" t="str">
            <v>1-L  RESIDENTIAL</v>
          </cell>
          <cell r="K17">
            <v>28141</v>
          </cell>
          <cell r="L17">
            <v>28141</v>
          </cell>
          <cell r="M17" t="str">
            <v>3-OUT  RESIDENTIAL</v>
          </cell>
          <cell r="O17">
            <v>35478780</v>
          </cell>
          <cell r="P17">
            <v>35478780</v>
          </cell>
          <cell r="Q17" t="str">
            <v>3-B-IN RESIDENTIAL</v>
          </cell>
          <cell r="S17">
            <v>167363015</v>
          </cell>
          <cell r="T17">
            <v>167363015</v>
          </cell>
          <cell r="U17" t="str">
            <v>2-IN  RESIDENTIAL</v>
          </cell>
          <cell r="W17">
            <v>3503963</v>
          </cell>
          <cell r="X17">
            <v>3503963</v>
          </cell>
          <cell r="Y17" t="str">
            <v>TOTAL RESIDENTIAL</v>
          </cell>
          <cell r="Z17">
            <v>0</v>
          </cell>
          <cell r="AA17">
            <v>10560742</v>
          </cell>
          <cell r="AB17">
            <v>10560742</v>
          </cell>
          <cell r="AC17" t="str">
            <v>2-OUT RESIDENTIAL</v>
          </cell>
          <cell r="AE17">
            <v>645715774</v>
          </cell>
          <cell r="AF17">
            <v>645715774</v>
          </cell>
          <cell r="AG17" t="str">
            <v>10-IN RESIDENTIAL</v>
          </cell>
          <cell r="AI17">
            <v>3327044</v>
          </cell>
          <cell r="AJ17">
            <v>3327044</v>
          </cell>
          <cell r="AK17" t="str">
            <v>2-H-IN  RESIDENTIAL</v>
          </cell>
          <cell r="AM17">
            <v>8180312</v>
          </cell>
          <cell r="AN17">
            <v>8180312</v>
          </cell>
          <cell r="AO17" t="str">
            <v>33-IN RESIDENTIAL</v>
          </cell>
          <cell r="AQ17">
            <v>2173216</v>
          </cell>
          <cell r="AR17">
            <v>2173216</v>
          </cell>
          <cell r="AS17" t="str">
            <v>5-IN  RESIDENTIAL</v>
          </cell>
          <cell r="AT17">
            <v>0</v>
          </cell>
          <cell r="AU17">
            <v>417476</v>
          </cell>
          <cell r="AV17">
            <v>417476</v>
          </cell>
          <cell r="AW17" t="str">
            <v>1-A-IN  RESIDENTIAL</v>
          </cell>
          <cell r="AY17">
            <v>483399</v>
          </cell>
          <cell r="AZ17">
            <v>483399</v>
          </cell>
          <cell r="BA17" t="str">
            <v>8-IN  RESIDENTIAL</v>
          </cell>
          <cell r="BB17">
            <v>0</v>
          </cell>
          <cell r="BC17">
            <v>9327820</v>
          </cell>
          <cell r="BD17">
            <v>9327820</v>
          </cell>
          <cell r="BE17" t="str">
            <v>3/35-OUT RESIDENTIAL</v>
          </cell>
          <cell r="BG17">
            <v>41953130</v>
          </cell>
          <cell r="BH17">
            <v>41953130</v>
          </cell>
          <cell r="BI17" t="str">
            <v>FILE:CAVAL08</v>
          </cell>
          <cell r="BK17" t="str">
            <v>TAX YEAR  08</v>
          </cell>
          <cell r="BM17" t="str">
            <v>1-OUT RESIDENTIAL</v>
          </cell>
          <cell r="BO17">
            <v>85268863</v>
          </cell>
          <cell r="BP17">
            <v>85268863</v>
          </cell>
          <cell r="BQ17" t="str">
            <v>ZUNI RESIDENTIAL</v>
          </cell>
          <cell r="BS17">
            <v>20010</v>
          </cell>
          <cell r="BT17">
            <v>20010</v>
          </cell>
          <cell r="BU17" t="str">
            <v>12-IN RESIDENTIAL</v>
          </cell>
          <cell r="BW17">
            <v>2112931</v>
          </cell>
          <cell r="BX17">
            <v>2112931</v>
          </cell>
          <cell r="BY17" t="str">
            <v>4-IN RESIDENTIAL</v>
          </cell>
          <cell r="BZ17">
            <v>0</v>
          </cell>
          <cell r="CA17">
            <v>18778150</v>
          </cell>
          <cell r="CB17">
            <v>18778150</v>
          </cell>
          <cell r="CC17" t="str">
            <v>19-IN RESIDENTIAL</v>
          </cell>
          <cell r="CE17">
            <v>314161</v>
          </cell>
          <cell r="CF17">
            <v>314161</v>
          </cell>
          <cell r="CG17" t="str">
            <v>21  RESIDENTIAL</v>
          </cell>
          <cell r="CI17">
            <v>2875125</v>
          </cell>
          <cell r="CJ17">
            <v>2875125</v>
          </cell>
          <cell r="CK17" t="str">
            <v>2-IN RESIDENTIAL</v>
          </cell>
          <cell r="CL17">
            <v>0</v>
          </cell>
          <cell r="CM17">
            <v>864193</v>
          </cell>
          <cell r="CN17">
            <v>864193</v>
          </cell>
          <cell r="CO17" t="str">
            <v>94-OUT RESIDENTIAL</v>
          </cell>
          <cell r="CQ17">
            <v>11065464</v>
          </cell>
          <cell r="CR17">
            <v>11065464</v>
          </cell>
          <cell r="CS17" t="str">
            <v>5-IN RESIDENTIAL</v>
          </cell>
          <cell r="CU17">
            <v>534624444</v>
          </cell>
          <cell r="CV17">
            <v>534624444</v>
          </cell>
          <cell r="CW17" t="str">
            <v>2-IN RESIDENTIAL</v>
          </cell>
          <cell r="CX17">
            <v>0</v>
          </cell>
          <cell r="CY17">
            <v>75277237</v>
          </cell>
          <cell r="CZ17">
            <v>75277237</v>
          </cell>
          <cell r="DA17" t="str">
            <v>1  RESIDENTIAL</v>
          </cell>
          <cell r="DB17">
            <v>0</v>
          </cell>
          <cell r="DC17">
            <v>122534468</v>
          </cell>
          <cell r="DD17">
            <v>122534468</v>
          </cell>
          <cell r="DE17" t="str">
            <v>6-OUT RESIDENTIAL</v>
          </cell>
          <cell r="DG17">
            <v>55946111</v>
          </cell>
          <cell r="DH17">
            <v>55946111</v>
          </cell>
          <cell r="DI17" t="str">
            <v>5  RESIDENTIAL</v>
          </cell>
          <cell r="DK17">
            <v>13854513</v>
          </cell>
          <cell r="DL17">
            <v>13854513</v>
          </cell>
          <cell r="DM17" t="str">
            <v>1-A  RESIDENTIAL</v>
          </cell>
          <cell r="DO17">
            <v>216514403</v>
          </cell>
          <cell r="DP17">
            <v>216514403</v>
          </cell>
          <cell r="DQ17" t="str">
            <v>7-W-IN  RESIDENTIAL</v>
          </cell>
          <cell r="DR17">
            <v>0</v>
          </cell>
          <cell r="DS17">
            <v>800334</v>
          </cell>
          <cell r="DT17">
            <v>800334</v>
          </cell>
          <cell r="DU17" t="str">
            <v>22-D-IN  RESIDENTIAL</v>
          </cell>
          <cell r="DV17">
            <v>0</v>
          </cell>
          <cell r="DW17">
            <v>691387</v>
          </cell>
          <cell r="DX17">
            <v>691387</v>
          </cell>
          <cell r="DY17" t="str">
            <v>1-IN-BF RESIDENTIAL</v>
          </cell>
          <cell r="EA17">
            <v>58072853</v>
          </cell>
          <cell r="EB17">
            <v>58072853</v>
          </cell>
          <cell r="ED17" t="str">
            <v>GRANT</v>
          </cell>
          <cell r="EE17">
            <v>36859199</v>
          </cell>
          <cell r="EF17">
            <v>478558215</v>
          </cell>
        </row>
        <row r="18">
          <cell r="A18" t="str">
            <v>TOTAL</v>
          </cell>
          <cell r="B18">
            <v>508147</v>
          </cell>
          <cell r="C18">
            <v>9301621</v>
          </cell>
          <cell r="D18">
            <v>9809768</v>
          </cell>
          <cell r="E18" t="str">
            <v>TOTAL</v>
          </cell>
          <cell r="F18">
            <v>8170950</v>
          </cell>
          <cell r="G18">
            <v>54702731</v>
          </cell>
          <cell r="H18">
            <v>62873681</v>
          </cell>
          <cell r="I18" t="str">
            <v>TOTAL</v>
          </cell>
          <cell r="J18">
            <v>0</v>
          </cell>
          <cell r="K18">
            <v>51059</v>
          </cell>
          <cell r="L18">
            <v>51059</v>
          </cell>
          <cell r="M18" t="str">
            <v>TOTAL</v>
          </cell>
          <cell r="N18">
            <v>38728562</v>
          </cell>
          <cell r="O18">
            <v>70402651</v>
          </cell>
          <cell r="P18">
            <v>109131213</v>
          </cell>
          <cell r="Q18" t="str">
            <v>TOTAL</v>
          </cell>
          <cell r="R18">
            <v>1619660</v>
          </cell>
          <cell r="S18">
            <v>263087236</v>
          </cell>
          <cell r="T18">
            <v>264706896</v>
          </cell>
          <cell r="U18" t="str">
            <v>TOTAL</v>
          </cell>
          <cell r="V18">
            <v>592835</v>
          </cell>
          <cell r="W18">
            <v>4628537</v>
          </cell>
          <cell r="X18">
            <v>5221372</v>
          </cell>
          <cell r="Y18" t="str">
            <v>-</v>
          </cell>
          <cell r="Z18" t="str">
            <v>-</v>
          </cell>
          <cell r="AA18" t="str">
            <v>-</v>
          </cell>
          <cell r="AB18" t="str">
            <v>-</v>
          </cell>
          <cell r="AC18" t="str">
            <v>TOTAL</v>
          </cell>
          <cell r="AD18">
            <v>36181993</v>
          </cell>
          <cell r="AE18">
            <v>778917191</v>
          </cell>
          <cell r="AF18">
            <v>815099184</v>
          </cell>
          <cell r="AG18" t="str">
            <v>TOTAL</v>
          </cell>
          <cell r="AH18">
            <v>749879</v>
          </cell>
          <cell r="AI18">
            <v>4297609</v>
          </cell>
          <cell r="AJ18">
            <v>5047488</v>
          </cell>
          <cell r="AK18" t="str">
            <v>TOTAL</v>
          </cell>
          <cell r="AL18">
            <v>491556</v>
          </cell>
          <cell r="AM18">
            <v>8690428</v>
          </cell>
          <cell r="AN18">
            <v>9181984</v>
          </cell>
          <cell r="AO18" t="str">
            <v>TOTAL</v>
          </cell>
          <cell r="AP18">
            <v>2144970</v>
          </cell>
          <cell r="AQ18">
            <v>3970594</v>
          </cell>
          <cell r="AR18">
            <v>6115564</v>
          </cell>
          <cell r="AS18" t="str">
            <v>TOTAL</v>
          </cell>
          <cell r="AT18">
            <v>120193</v>
          </cell>
          <cell r="AU18">
            <v>523937</v>
          </cell>
          <cell r="AV18">
            <v>644130</v>
          </cell>
          <cell r="AW18" t="str">
            <v>TOTAL</v>
          </cell>
          <cell r="AX18">
            <v>3518</v>
          </cell>
          <cell r="AY18">
            <v>778524</v>
          </cell>
          <cell r="AZ18">
            <v>782042</v>
          </cell>
          <cell r="BA18" t="str">
            <v>TOTAL</v>
          </cell>
          <cell r="BB18">
            <v>8729399</v>
          </cell>
          <cell r="BC18">
            <v>14733461</v>
          </cell>
          <cell r="BD18">
            <v>23462860</v>
          </cell>
          <cell r="BE18" t="str">
            <v>TOTAL</v>
          </cell>
          <cell r="BF18">
            <v>2319188</v>
          </cell>
          <cell r="BG18">
            <v>66093971</v>
          </cell>
          <cell r="BH18">
            <v>68413159</v>
          </cell>
          <cell r="BK18" t="str">
            <v>FINAL</v>
          </cell>
          <cell r="BM18" t="str">
            <v>TOTAL</v>
          </cell>
          <cell r="BN18">
            <v>70866521</v>
          </cell>
          <cell r="BO18">
            <v>156108454</v>
          </cell>
          <cell r="BP18">
            <v>226974975</v>
          </cell>
          <cell r="BQ18" t="str">
            <v>TOTAL</v>
          </cell>
          <cell r="BR18">
            <v>1884177</v>
          </cell>
          <cell r="BS18">
            <v>795600</v>
          </cell>
          <cell r="BT18">
            <v>2679777</v>
          </cell>
          <cell r="BU18" t="str">
            <v>TOTAL</v>
          </cell>
          <cell r="BV18">
            <v>1054783</v>
          </cell>
          <cell r="BW18">
            <v>2625666</v>
          </cell>
          <cell r="BX18">
            <v>3680449</v>
          </cell>
          <cell r="BY18" t="str">
            <v>TOTAL</v>
          </cell>
          <cell r="BZ18">
            <v>2124097</v>
          </cell>
          <cell r="CA18">
            <v>23150171</v>
          </cell>
          <cell r="CB18">
            <v>25274268</v>
          </cell>
          <cell r="CC18" t="str">
            <v>TOTAL</v>
          </cell>
          <cell r="CD18">
            <v>94966</v>
          </cell>
          <cell r="CE18">
            <v>434886</v>
          </cell>
          <cell r="CF18">
            <v>529852</v>
          </cell>
          <cell r="CG18" t="str">
            <v>TOTAL</v>
          </cell>
          <cell r="CH18">
            <v>54009692</v>
          </cell>
          <cell r="CI18">
            <v>11203542</v>
          </cell>
          <cell r="CJ18">
            <v>65213234</v>
          </cell>
          <cell r="CK18" t="str">
            <v>TOTAL</v>
          </cell>
          <cell r="CL18">
            <v>334302</v>
          </cell>
          <cell r="CM18">
            <v>1145661</v>
          </cell>
          <cell r="CN18">
            <v>1479963</v>
          </cell>
          <cell r="CO18" t="str">
            <v>TOTAL</v>
          </cell>
          <cell r="CP18">
            <v>5559647</v>
          </cell>
          <cell r="CQ18">
            <v>95450477</v>
          </cell>
          <cell r="CR18">
            <v>101010124</v>
          </cell>
          <cell r="CS18" t="str">
            <v>TOTAL</v>
          </cell>
          <cell r="CT18">
            <v>23126941</v>
          </cell>
          <cell r="CU18">
            <v>862915997</v>
          </cell>
          <cell r="CV18">
            <v>886042938</v>
          </cell>
          <cell r="CW18" t="str">
            <v>TOTAL</v>
          </cell>
          <cell r="CX18">
            <v>4911925</v>
          </cell>
          <cell r="CY18">
            <v>118237303</v>
          </cell>
          <cell r="CZ18">
            <v>123149228</v>
          </cell>
          <cell r="DA18" t="str">
            <v>TOTAL</v>
          </cell>
          <cell r="DB18">
            <v>5849803</v>
          </cell>
          <cell r="DC18">
            <v>161767751</v>
          </cell>
          <cell r="DD18">
            <v>167617554</v>
          </cell>
          <cell r="DE18" t="str">
            <v>TOTAL</v>
          </cell>
          <cell r="DF18">
            <v>22676540</v>
          </cell>
          <cell r="DG18">
            <v>85658015</v>
          </cell>
          <cell r="DH18">
            <v>108334555</v>
          </cell>
          <cell r="DI18" t="str">
            <v>TOTAL</v>
          </cell>
          <cell r="DJ18">
            <v>5834041</v>
          </cell>
          <cell r="DK18">
            <v>39355262</v>
          </cell>
          <cell r="DL18">
            <v>45189303</v>
          </cell>
          <cell r="DM18" t="str">
            <v>TOTAL</v>
          </cell>
          <cell r="DN18">
            <v>3633477</v>
          </cell>
          <cell r="DO18">
            <v>300592781</v>
          </cell>
          <cell r="DP18">
            <v>304226258</v>
          </cell>
          <cell r="DQ18" t="str">
            <v>TOTAL</v>
          </cell>
          <cell r="DR18">
            <v>301617</v>
          </cell>
          <cell r="DS18">
            <v>995429</v>
          </cell>
          <cell r="DT18">
            <v>1297046</v>
          </cell>
          <cell r="DU18" t="str">
            <v>TOTAL</v>
          </cell>
          <cell r="DV18">
            <v>949525</v>
          </cell>
          <cell r="DW18">
            <v>1029035</v>
          </cell>
          <cell r="DX18">
            <v>1978560</v>
          </cell>
          <cell r="DY18" t="str">
            <v>TOTAL</v>
          </cell>
          <cell r="DZ18">
            <v>1029889</v>
          </cell>
          <cell r="EA18">
            <v>70872235</v>
          </cell>
          <cell r="EB18">
            <v>71902124</v>
          </cell>
          <cell r="ED18" t="str">
            <v>GUADALUPE</v>
          </cell>
          <cell r="EE18">
            <v>35150721</v>
          </cell>
          <cell r="EF18">
            <v>61477803</v>
          </cell>
        </row>
        <row r="19">
          <cell r="Y19" t="str">
            <v>GRAND TOTAL</v>
          </cell>
          <cell r="Z19">
            <v>25073519</v>
          </cell>
          <cell r="AA19">
            <v>22730075</v>
          </cell>
          <cell r="AB19">
            <v>47803594</v>
          </cell>
          <cell r="ED19" t="str">
            <v>HARDING</v>
          </cell>
          <cell r="EE19">
            <v>4828150</v>
          </cell>
          <cell r="EF19">
            <v>20680787</v>
          </cell>
        </row>
        <row r="20">
          <cell r="A20" t="str">
            <v>12-OUT NON-RES</v>
          </cell>
          <cell r="B20">
            <v>102154337</v>
          </cell>
          <cell r="C20">
            <v>420915478</v>
          </cell>
          <cell r="D20">
            <v>523069815</v>
          </cell>
          <cell r="E20" t="str">
            <v>2-A  NON-RES</v>
          </cell>
          <cell r="F20">
            <v>1091783</v>
          </cell>
          <cell r="G20">
            <v>2152066</v>
          </cell>
          <cell r="H20">
            <v>3243849</v>
          </cell>
          <cell r="I20" t="str">
            <v>6-IN  NON-RES</v>
          </cell>
          <cell r="J20">
            <v>432654</v>
          </cell>
          <cell r="K20">
            <v>667924</v>
          </cell>
          <cell r="L20">
            <v>1100578</v>
          </cell>
          <cell r="M20" t="str">
            <v>QM-03 NON-RES</v>
          </cell>
          <cell r="N20">
            <v>924537</v>
          </cell>
          <cell r="O20">
            <v>6798244</v>
          </cell>
          <cell r="P20">
            <v>7722781</v>
          </cell>
          <cell r="Q20" t="str">
            <v>3-OUT NON-RES</v>
          </cell>
          <cell r="R20">
            <v>11520757</v>
          </cell>
          <cell r="S20">
            <v>35326565</v>
          </cell>
          <cell r="T20">
            <v>46847322</v>
          </cell>
          <cell r="U20" t="str">
            <v>2-OUT  NON-RES</v>
          </cell>
          <cell r="V20">
            <v>6108627</v>
          </cell>
          <cell r="W20">
            <v>26291308</v>
          </cell>
          <cell r="X20">
            <v>32399935</v>
          </cell>
          <cell r="Y20" t="str">
            <v>=</v>
          </cell>
          <cell r="Z20" t="str">
            <v>=</v>
          </cell>
          <cell r="AA20" t="str">
            <v>=</v>
          </cell>
          <cell r="AB20" t="str">
            <v>=</v>
          </cell>
          <cell r="AC20" t="str">
            <v>11-IN NON-RES</v>
          </cell>
          <cell r="AD20">
            <v>1482117</v>
          </cell>
          <cell r="AE20">
            <v>5950879</v>
          </cell>
          <cell r="AF20">
            <v>7432996</v>
          </cell>
          <cell r="AG20" t="str">
            <v>10-OUT NON-RES</v>
          </cell>
          <cell r="AH20">
            <v>15132862</v>
          </cell>
          <cell r="AI20">
            <v>4034216</v>
          </cell>
          <cell r="AJ20">
            <v>19167078</v>
          </cell>
          <cell r="AK20" t="str">
            <v>2-B-IN  NON-RES</v>
          </cell>
          <cell r="AL20">
            <v>1189012</v>
          </cell>
          <cell r="AM20">
            <v>2642743</v>
          </cell>
          <cell r="AN20">
            <v>3831755</v>
          </cell>
          <cell r="AO20" t="str">
            <v>33-OUT NON-RES</v>
          </cell>
          <cell r="AP20">
            <v>13241172</v>
          </cell>
          <cell r="AQ20">
            <v>1811834</v>
          </cell>
          <cell r="AR20">
            <v>15053006</v>
          </cell>
          <cell r="AS20" t="str">
            <v>5-OUT NON-RES</v>
          </cell>
          <cell r="AT20">
            <v>3397711</v>
          </cell>
          <cell r="AU20">
            <v>12437820</v>
          </cell>
          <cell r="AV20">
            <v>15835531</v>
          </cell>
          <cell r="AW20" t="str">
            <v>1-A-OUT NON-RES</v>
          </cell>
          <cell r="AX20">
            <v>11768</v>
          </cell>
          <cell r="AY20">
            <v>1795957</v>
          </cell>
          <cell r="AZ20">
            <v>1807725</v>
          </cell>
          <cell r="BA20" t="str">
            <v>8-OUT NON-RES</v>
          </cell>
          <cell r="BB20">
            <v>41842207</v>
          </cell>
          <cell r="BC20">
            <v>8879388</v>
          </cell>
          <cell r="BD20">
            <v>50721595</v>
          </cell>
          <cell r="BE20" t="str">
            <v>7-IN  NON-RES</v>
          </cell>
          <cell r="BF20">
            <v>726403</v>
          </cell>
          <cell r="BG20">
            <v>2983057</v>
          </cell>
          <cell r="BH20">
            <v>3709460</v>
          </cell>
          <cell r="BM20" t="str">
            <v>TOTAL NON-RES</v>
          </cell>
          <cell r="BN20">
            <v>119100515</v>
          </cell>
          <cell r="BO20">
            <v>131415822</v>
          </cell>
          <cell r="BP20">
            <v>250516337</v>
          </cell>
          <cell r="BQ20" t="str">
            <v>TOTAL NON-RES</v>
          </cell>
          <cell r="BR20">
            <v>251806935</v>
          </cell>
          <cell r="BS20">
            <v>188265050</v>
          </cell>
          <cell r="BT20">
            <v>440071985</v>
          </cell>
          <cell r="BU20" t="str">
            <v>12-OUT NON-RES</v>
          </cell>
          <cell r="BV20">
            <v>6077665</v>
          </cell>
          <cell r="BW20">
            <v>3904266</v>
          </cell>
          <cell r="BX20">
            <v>9981931</v>
          </cell>
          <cell r="BY20" t="str">
            <v>4-OUT NON-RES</v>
          </cell>
          <cell r="BZ20">
            <v>10391744</v>
          </cell>
          <cell r="CA20">
            <v>10932197</v>
          </cell>
          <cell r="CB20">
            <v>21323941</v>
          </cell>
          <cell r="CC20" t="str">
            <v>19-OUT NON-RES</v>
          </cell>
          <cell r="CD20">
            <v>1027116</v>
          </cell>
          <cell r="CE20">
            <v>2521215</v>
          </cell>
          <cell r="CF20">
            <v>3548331</v>
          </cell>
          <cell r="CG20" t="str">
            <v>45-IN NON-RES</v>
          </cell>
          <cell r="CH20">
            <v>6385203</v>
          </cell>
          <cell r="CI20">
            <v>45555420</v>
          </cell>
          <cell r="CJ20">
            <v>51940623</v>
          </cell>
          <cell r="CK20" t="str">
            <v>2-OUT NON-RES</v>
          </cell>
          <cell r="CL20">
            <v>5640511</v>
          </cell>
          <cell r="CM20">
            <v>2778254</v>
          </cell>
          <cell r="CN20">
            <v>8418765</v>
          </cell>
          <cell r="CO20" t="str">
            <v>2-A-IN NON-RES</v>
          </cell>
          <cell r="CP20">
            <v>3061821</v>
          </cell>
          <cell r="CQ20">
            <v>46672454</v>
          </cell>
          <cell r="CR20">
            <v>49734275</v>
          </cell>
          <cell r="CS20" t="str">
            <v>5-OUT NON-RES</v>
          </cell>
          <cell r="CT20">
            <v>40872727</v>
          </cell>
          <cell r="CU20">
            <v>80863364</v>
          </cell>
          <cell r="CV20">
            <v>121736091</v>
          </cell>
          <cell r="CW20" t="str">
            <v>2-OUT NON-RES</v>
          </cell>
          <cell r="CX20">
            <v>5109971</v>
          </cell>
          <cell r="CY20">
            <v>17792898</v>
          </cell>
          <cell r="CZ20">
            <v>22902869</v>
          </cell>
          <cell r="DA20" t="str">
            <v>8-T  NON-RES</v>
          </cell>
          <cell r="DB20">
            <v>10012567</v>
          </cell>
          <cell r="DC20">
            <v>23730086</v>
          </cell>
          <cell r="DD20">
            <v>33742653</v>
          </cell>
          <cell r="DE20" t="str">
            <v>6-EB-IN NON-RES</v>
          </cell>
          <cell r="DF20">
            <v>1279936</v>
          </cell>
          <cell r="DG20">
            <v>19668867</v>
          </cell>
          <cell r="DH20">
            <v>20948803</v>
          </cell>
          <cell r="DI20" t="str">
            <v>7-L  NON-RES</v>
          </cell>
          <cell r="DJ20">
            <v>339183</v>
          </cell>
          <cell r="DK20">
            <v>81953</v>
          </cell>
          <cell r="DL20">
            <v>421136</v>
          </cell>
          <cell r="DM20" t="str">
            <v>4  NON-RES</v>
          </cell>
          <cell r="DN20">
            <v>1510133</v>
          </cell>
          <cell r="DO20">
            <v>5506554</v>
          </cell>
          <cell r="DP20">
            <v>7016687</v>
          </cell>
          <cell r="DQ20" t="str">
            <v>8-IN  NON-RES</v>
          </cell>
          <cell r="DR20">
            <v>5186152</v>
          </cell>
          <cell r="DS20">
            <v>15591339</v>
          </cell>
          <cell r="DT20">
            <v>20777491</v>
          </cell>
          <cell r="DU20" t="str">
            <v>22-F-IN  NON-RES</v>
          </cell>
          <cell r="DV20">
            <v>399330</v>
          </cell>
          <cell r="DW20">
            <v>122591</v>
          </cell>
          <cell r="DX20">
            <v>521921</v>
          </cell>
          <cell r="DY20" t="str">
            <v>LL-03 NON-RES</v>
          </cell>
          <cell r="DZ20">
            <v>0</v>
          </cell>
          <cell r="EA20">
            <v>8500</v>
          </cell>
          <cell r="EB20">
            <v>8500</v>
          </cell>
          <cell r="ED20" t="str">
            <v>HIDALGO</v>
          </cell>
          <cell r="EE20">
            <v>78832989</v>
          </cell>
          <cell r="EF20">
            <v>62510267</v>
          </cell>
        </row>
        <row r="21">
          <cell r="A21" t="str">
            <v>12-OUT RESIDENTIAL</v>
          </cell>
          <cell r="C21">
            <v>1558813096</v>
          </cell>
          <cell r="D21">
            <v>1558813096</v>
          </cell>
          <cell r="E21" t="str">
            <v>2-A  RESIDENTIAL</v>
          </cell>
          <cell r="G21">
            <v>3224662</v>
          </cell>
          <cell r="H21">
            <v>3224662</v>
          </cell>
          <cell r="I21" t="str">
            <v>6-IN  RESIDENTIAL</v>
          </cell>
          <cell r="K21">
            <v>3184000</v>
          </cell>
          <cell r="L21">
            <v>3184000</v>
          </cell>
          <cell r="M21" t="str">
            <v>QM-03 RESIDENTIAL</v>
          </cell>
          <cell r="O21">
            <v>1499791</v>
          </cell>
          <cell r="P21">
            <v>1499791</v>
          </cell>
          <cell r="Q21" t="str">
            <v>3-OUT RESIDENTIAL</v>
          </cell>
          <cell r="R21">
            <v>0</v>
          </cell>
          <cell r="S21">
            <v>45728201</v>
          </cell>
          <cell r="T21">
            <v>45728201</v>
          </cell>
          <cell r="U21" t="str">
            <v>2-OUT RESIDENTIAL</v>
          </cell>
          <cell r="W21">
            <v>6539991</v>
          </cell>
          <cell r="X21">
            <v>6539991</v>
          </cell>
          <cell r="Y21" t="str">
            <v>FILE:CAVAL08</v>
          </cell>
          <cell r="AA21" t="str">
            <v>TAX YEAR  08</v>
          </cell>
          <cell r="AC21" t="str">
            <v>11-IN RESIDENTIAL</v>
          </cell>
          <cell r="AE21">
            <v>5389186</v>
          </cell>
          <cell r="AF21">
            <v>5389186</v>
          </cell>
          <cell r="AG21" t="str">
            <v>10-OUT RESIDENTIAL</v>
          </cell>
          <cell r="AH21">
            <v>0</v>
          </cell>
          <cell r="AI21">
            <v>2867344</v>
          </cell>
          <cell r="AJ21">
            <v>2867344</v>
          </cell>
          <cell r="AK21" t="str">
            <v>2-B-IN  RESIDENTIAL</v>
          </cell>
          <cell r="AM21">
            <v>13249958</v>
          </cell>
          <cell r="AN21">
            <v>13249958</v>
          </cell>
          <cell r="AO21" t="str">
            <v>33-OUT RESIDENTIAL</v>
          </cell>
          <cell r="AQ21">
            <v>674409</v>
          </cell>
          <cell r="AR21">
            <v>674409</v>
          </cell>
          <cell r="AS21" t="str">
            <v>5-OUT RESIDENTIAL</v>
          </cell>
          <cell r="AT21">
            <v>0</v>
          </cell>
          <cell r="AU21">
            <v>1053960</v>
          </cell>
          <cell r="AV21">
            <v>1053960</v>
          </cell>
          <cell r="AW21" t="str">
            <v>1-A-OUT RESIDENTIAL</v>
          </cell>
          <cell r="AY21">
            <v>1240910</v>
          </cell>
          <cell r="AZ21">
            <v>1240910</v>
          </cell>
          <cell r="BA21" t="str">
            <v>8-OUT RESIDENTIAL</v>
          </cell>
          <cell r="BB21">
            <v>0</v>
          </cell>
          <cell r="BC21">
            <v>1574263</v>
          </cell>
          <cell r="BD21">
            <v>1574263</v>
          </cell>
          <cell r="BE21" t="str">
            <v>7-IN  RESIDENTIAL</v>
          </cell>
          <cell r="BG21">
            <v>5044916</v>
          </cell>
          <cell r="BH21">
            <v>5044916</v>
          </cell>
          <cell r="BM21" t="str">
            <v>TOTAL RESIDENTIAL</v>
          </cell>
          <cell r="BN21">
            <v>0</v>
          </cell>
          <cell r="BO21">
            <v>201901892</v>
          </cell>
          <cell r="BP21">
            <v>201901892</v>
          </cell>
          <cell r="BQ21" t="str">
            <v>TOTAL RESIDENTIAL</v>
          </cell>
          <cell r="BR21">
            <v>0</v>
          </cell>
          <cell r="BS21">
            <v>242836380</v>
          </cell>
          <cell r="BT21">
            <v>242836380</v>
          </cell>
          <cell r="BU21" t="str">
            <v>12-OUT RESIDENTIAL</v>
          </cell>
          <cell r="BW21">
            <v>1820059</v>
          </cell>
          <cell r="BX21">
            <v>1820059</v>
          </cell>
          <cell r="BY21" t="str">
            <v>4-OUT RESIDENTIAL</v>
          </cell>
          <cell r="BZ21">
            <v>0</v>
          </cell>
          <cell r="CA21">
            <v>21622531</v>
          </cell>
          <cell r="CB21">
            <v>21622531</v>
          </cell>
          <cell r="CC21" t="str">
            <v>19-OUT RESIDENTIAL</v>
          </cell>
          <cell r="CE21">
            <v>1263788</v>
          </cell>
          <cell r="CF21">
            <v>1263788</v>
          </cell>
          <cell r="CG21" t="str">
            <v>45-IN RESIDENTIAL</v>
          </cell>
          <cell r="CI21">
            <v>57289266</v>
          </cell>
          <cell r="CJ21">
            <v>57289266</v>
          </cell>
          <cell r="CK21" t="str">
            <v>2-OUT RESIDENTIAL</v>
          </cell>
          <cell r="CL21">
            <v>0</v>
          </cell>
          <cell r="CM21">
            <v>1509415</v>
          </cell>
          <cell r="CN21">
            <v>1509415</v>
          </cell>
          <cell r="CO21" t="str">
            <v>2-A-IN RESIDENTIAL</v>
          </cell>
          <cell r="CQ21">
            <v>260123432</v>
          </cell>
          <cell r="CR21">
            <v>260123432</v>
          </cell>
          <cell r="CS21" t="str">
            <v>5-OUT RESIDENTIAL</v>
          </cell>
          <cell r="CU21">
            <v>108043181</v>
          </cell>
          <cell r="CV21">
            <v>108043181</v>
          </cell>
          <cell r="CW21" t="str">
            <v>2-OUT RESIDENTIAL</v>
          </cell>
          <cell r="CX21">
            <v>0</v>
          </cell>
          <cell r="CY21">
            <v>60973792</v>
          </cell>
          <cell r="CZ21">
            <v>60973792</v>
          </cell>
          <cell r="DA21" t="str">
            <v>8-T  RESIDENTIAL</v>
          </cell>
          <cell r="DB21">
            <v>0</v>
          </cell>
          <cell r="DC21">
            <v>50148912</v>
          </cell>
          <cell r="DD21">
            <v>50148912</v>
          </cell>
          <cell r="DE21" t="str">
            <v>6-EB-IN RESIDENTIAL</v>
          </cell>
          <cell r="DG21">
            <v>31936841</v>
          </cell>
          <cell r="DH21">
            <v>31936841</v>
          </cell>
          <cell r="DI21" t="str">
            <v>7-L  RESIDENTIAL</v>
          </cell>
          <cell r="DK21">
            <v>201566</v>
          </cell>
          <cell r="DL21">
            <v>201566</v>
          </cell>
          <cell r="DM21" t="str">
            <v>4  RESIDENTIAL</v>
          </cell>
          <cell r="DO21">
            <v>30619964</v>
          </cell>
          <cell r="DP21">
            <v>30619964</v>
          </cell>
          <cell r="DQ21" t="str">
            <v>8-IN  RESIDENTIAL</v>
          </cell>
          <cell r="DR21">
            <v>0</v>
          </cell>
          <cell r="DS21">
            <v>15305655</v>
          </cell>
          <cell r="DT21">
            <v>15305655</v>
          </cell>
          <cell r="DU21" t="str">
            <v>22-F-IN  RESIDENTIAL</v>
          </cell>
          <cell r="DV21">
            <v>0</v>
          </cell>
          <cell r="DW21">
            <v>364161</v>
          </cell>
          <cell r="DX21">
            <v>364161</v>
          </cell>
          <cell r="DY21" t="str">
            <v>LL-03  RESIDENTIAL</v>
          </cell>
          <cell r="EA21">
            <v>11216790</v>
          </cell>
          <cell r="EB21">
            <v>11216790</v>
          </cell>
        </row>
        <row r="22">
          <cell r="A22" t="str">
            <v>TOTAL</v>
          </cell>
          <cell r="B22">
            <v>102154337</v>
          </cell>
          <cell r="C22">
            <v>1979728574</v>
          </cell>
          <cell r="D22">
            <v>2081882911</v>
          </cell>
          <cell r="E22" t="str">
            <v>TOTAL</v>
          </cell>
          <cell r="F22">
            <v>1091783</v>
          </cell>
          <cell r="G22">
            <v>5376728</v>
          </cell>
          <cell r="H22">
            <v>6468511</v>
          </cell>
          <cell r="I22" t="str">
            <v>TOTAL</v>
          </cell>
          <cell r="J22">
            <v>432654</v>
          </cell>
          <cell r="K22">
            <v>3851924</v>
          </cell>
          <cell r="L22">
            <v>4284578</v>
          </cell>
          <cell r="M22" t="str">
            <v>TOTAL</v>
          </cell>
          <cell r="N22">
            <v>924537</v>
          </cell>
          <cell r="O22">
            <v>8298035</v>
          </cell>
          <cell r="P22">
            <v>9222572</v>
          </cell>
          <cell r="Q22" t="str">
            <v>TOTAL</v>
          </cell>
          <cell r="R22">
            <v>11520757</v>
          </cell>
          <cell r="S22">
            <v>81054766</v>
          </cell>
          <cell r="T22">
            <v>92575523</v>
          </cell>
          <cell r="U22" t="str">
            <v>TOTAL</v>
          </cell>
          <cell r="V22">
            <v>6108627</v>
          </cell>
          <cell r="W22">
            <v>32831299</v>
          </cell>
          <cell r="X22">
            <v>38939926</v>
          </cell>
          <cell r="AA22" t="str">
            <v>FINAL</v>
          </cell>
          <cell r="AC22" t="str">
            <v>TOTAL</v>
          </cell>
          <cell r="AD22">
            <v>1482117</v>
          </cell>
          <cell r="AE22">
            <v>11340065</v>
          </cell>
          <cell r="AF22">
            <v>12822182</v>
          </cell>
          <cell r="AG22" t="str">
            <v>TOTAL</v>
          </cell>
          <cell r="AH22">
            <v>15132862</v>
          </cell>
          <cell r="AI22">
            <v>6901560</v>
          </cell>
          <cell r="AJ22">
            <v>22034422</v>
          </cell>
          <cell r="AK22" t="str">
            <v>TOTAL</v>
          </cell>
          <cell r="AL22">
            <v>1189012</v>
          </cell>
          <cell r="AM22">
            <v>15892701</v>
          </cell>
          <cell r="AN22">
            <v>17081713</v>
          </cell>
          <cell r="AO22" t="str">
            <v>TOTAL</v>
          </cell>
          <cell r="AP22">
            <v>13241172</v>
          </cell>
          <cell r="AQ22">
            <v>2486243</v>
          </cell>
          <cell r="AR22">
            <v>15727415</v>
          </cell>
          <cell r="AS22" t="str">
            <v>TOTAL</v>
          </cell>
          <cell r="AT22">
            <v>3397711</v>
          </cell>
          <cell r="AU22">
            <v>13491780</v>
          </cell>
          <cell r="AV22">
            <v>16889491</v>
          </cell>
          <cell r="AW22" t="str">
            <v>TOTAL</v>
          </cell>
          <cell r="AX22">
            <v>11768</v>
          </cell>
          <cell r="AY22">
            <v>3036867</v>
          </cell>
          <cell r="AZ22">
            <v>3048635</v>
          </cell>
          <cell r="BA22" t="str">
            <v>TOTAL</v>
          </cell>
          <cell r="BB22">
            <v>41842207</v>
          </cell>
          <cell r="BC22">
            <v>10453651</v>
          </cell>
          <cell r="BD22">
            <v>52295858</v>
          </cell>
          <cell r="BE22" t="str">
            <v>TOTAL</v>
          </cell>
          <cell r="BF22">
            <v>726403</v>
          </cell>
          <cell r="BG22">
            <v>8027973</v>
          </cell>
          <cell r="BH22">
            <v>8754376</v>
          </cell>
          <cell r="BM22" t="str">
            <v>-</v>
          </cell>
          <cell r="BN22" t="str">
            <v>-</v>
          </cell>
          <cell r="BO22" t="str">
            <v>-</v>
          </cell>
          <cell r="BP22" t="str">
            <v>-</v>
          </cell>
          <cell r="BQ22" t="str">
            <v>-</v>
          </cell>
          <cell r="BR22" t="str">
            <v>-</v>
          </cell>
          <cell r="BS22" t="str">
            <v>-</v>
          </cell>
          <cell r="BT22" t="str">
            <v>-</v>
          </cell>
          <cell r="BU22" t="str">
            <v>TOTAL</v>
          </cell>
          <cell r="BV22">
            <v>6077665</v>
          </cell>
          <cell r="BW22">
            <v>5724325</v>
          </cell>
          <cell r="BX22">
            <v>11801990</v>
          </cell>
          <cell r="BY22" t="str">
            <v>TOTAL</v>
          </cell>
          <cell r="BZ22">
            <v>10391744</v>
          </cell>
          <cell r="CA22">
            <v>32554728</v>
          </cell>
          <cell r="CB22">
            <v>42946472</v>
          </cell>
          <cell r="CC22" t="str">
            <v>TOTAL</v>
          </cell>
          <cell r="CD22">
            <v>1027116</v>
          </cell>
          <cell r="CE22">
            <v>3785003</v>
          </cell>
          <cell r="CF22">
            <v>4812119</v>
          </cell>
          <cell r="CG22" t="str">
            <v>TOTAL</v>
          </cell>
          <cell r="CH22">
            <v>6385203</v>
          </cell>
          <cell r="CI22">
            <v>102844686</v>
          </cell>
          <cell r="CJ22">
            <v>109229889</v>
          </cell>
          <cell r="CK22" t="str">
            <v>TOTAL</v>
          </cell>
          <cell r="CL22">
            <v>5640511</v>
          </cell>
          <cell r="CM22">
            <v>4287669</v>
          </cell>
          <cell r="CN22">
            <v>9928180</v>
          </cell>
          <cell r="CO22" t="str">
            <v>TOTAL</v>
          </cell>
          <cell r="CP22">
            <v>3061821</v>
          </cell>
          <cell r="CQ22">
            <v>306795886</v>
          </cell>
          <cell r="CR22">
            <v>309857707</v>
          </cell>
          <cell r="CS22" t="str">
            <v>TOTAL</v>
          </cell>
          <cell r="CT22">
            <v>40872727</v>
          </cell>
          <cell r="CU22">
            <v>188906545</v>
          </cell>
          <cell r="CV22">
            <v>229779272</v>
          </cell>
          <cell r="CW22" t="str">
            <v>TOTAL</v>
          </cell>
          <cell r="CX22">
            <v>5109971</v>
          </cell>
          <cell r="CY22">
            <v>78766690</v>
          </cell>
          <cell r="CZ22">
            <v>83876661</v>
          </cell>
          <cell r="DA22" t="str">
            <v>TOTAL</v>
          </cell>
          <cell r="DB22">
            <v>10012567</v>
          </cell>
          <cell r="DC22">
            <v>73878998</v>
          </cell>
          <cell r="DD22">
            <v>83891565</v>
          </cell>
          <cell r="DE22" t="str">
            <v>TOTAL</v>
          </cell>
          <cell r="DF22">
            <v>1279936</v>
          </cell>
          <cell r="DG22">
            <v>51605708</v>
          </cell>
          <cell r="DH22">
            <v>52885644</v>
          </cell>
          <cell r="DI22" t="str">
            <v>TOTAL</v>
          </cell>
          <cell r="DJ22">
            <v>339183</v>
          </cell>
          <cell r="DK22">
            <v>283519</v>
          </cell>
          <cell r="DL22">
            <v>622702</v>
          </cell>
          <cell r="DM22" t="str">
            <v>TOTAL</v>
          </cell>
          <cell r="DN22">
            <v>1510133</v>
          </cell>
          <cell r="DO22">
            <v>36126518</v>
          </cell>
          <cell r="DP22">
            <v>37636651</v>
          </cell>
          <cell r="DQ22" t="str">
            <v>TOTAL</v>
          </cell>
          <cell r="DR22">
            <v>5186152</v>
          </cell>
          <cell r="DS22">
            <v>30896994</v>
          </cell>
          <cell r="DT22">
            <v>36083146</v>
          </cell>
          <cell r="DU22" t="str">
            <v>TOTAL</v>
          </cell>
          <cell r="DV22">
            <v>399330</v>
          </cell>
          <cell r="DW22">
            <v>486752</v>
          </cell>
          <cell r="DX22">
            <v>886082</v>
          </cell>
          <cell r="DY22" t="str">
            <v>TOTAL</v>
          </cell>
          <cell r="DZ22">
            <v>0</v>
          </cell>
          <cell r="EA22">
            <v>11225290</v>
          </cell>
          <cell r="EB22">
            <v>11225290</v>
          </cell>
          <cell r="ED22" t="str">
            <v>LEA</v>
          </cell>
          <cell r="EE22">
            <v>234708617</v>
          </cell>
          <cell r="EF22">
            <v>556133495</v>
          </cell>
        </row>
        <row r="23">
          <cell r="E23" t="str">
            <v>-</v>
          </cell>
          <cell r="F23" t="str">
            <v>-</v>
          </cell>
          <cell r="G23" t="str">
            <v>-</v>
          </cell>
          <cell r="H23" t="str">
            <v>-</v>
          </cell>
          <cell r="AO23" t="str">
            <v>-</v>
          </cell>
          <cell r="AP23" t="str">
            <v>-</v>
          </cell>
          <cell r="AQ23" t="str">
            <v>-</v>
          </cell>
          <cell r="AR23" t="str">
            <v>-</v>
          </cell>
          <cell r="BM23" t="str">
            <v>GRAND TOTAL</v>
          </cell>
          <cell r="BN23">
            <v>119100515</v>
          </cell>
          <cell r="BO23">
            <v>333317714</v>
          </cell>
          <cell r="BP23">
            <v>452418229</v>
          </cell>
          <cell r="BQ23" t="str">
            <v>GRAND TOTAL</v>
          </cell>
          <cell r="BR23">
            <v>251806935</v>
          </cell>
          <cell r="BS23">
            <v>431101430</v>
          </cell>
          <cell r="BT23">
            <v>682908365</v>
          </cell>
          <cell r="DE23" t="str">
            <v>-</v>
          </cell>
          <cell r="DF23" t="str">
            <v>-</v>
          </cell>
          <cell r="DG23" t="str">
            <v>-</v>
          </cell>
          <cell r="DH23" t="str">
            <v>-</v>
          </cell>
          <cell r="ED23" t="str">
            <v>LINCOLN</v>
          </cell>
          <cell r="EE23">
            <v>55761446</v>
          </cell>
          <cell r="EF23">
            <v>833923441</v>
          </cell>
        </row>
        <row r="24">
          <cell r="A24" t="str">
            <v>2-A-IN NON-RES</v>
          </cell>
          <cell r="B24">
            <v>0</v>
          </cell>
          <cell r="C24">
            <v>0</v>
          </cell>
          <cell r="D24">
            <v>0</v>
          </cell>
          <cell r="E24" t="str">
            <v>TOTAL NON-RES</v>
          </cell>
          <cell r="F24">
            <v>17849048</v>
          </cell>
          <cell r="G24">
            <v>36399110</v>
          </cell>
          <cell r="H24">
            <v>54248158</v>
          </cell>
          <cell r="I24" t="str">
            <v>6-OUT NON-RES</v>
          </cell>
          <cell r="J24">
            <v>6062684</v>
          </cell>
          <cell r="K24">
            <v>10303470</v>
          </cell>
          <cell r="L24">
            <v>16366154</v>
          </cell>
          <cell r="M24" t="str">
            <v>TOTAL NON-RES</v>
          </cell>
          <cell r="N24">
            <v>47370224</v>
          </cell>
          <cell r="O24">
            <v>113905838</v>
          </cell>
          <cell r="P24">
            <v>161276062</v>
          </cell>
          <cell r="Q24" t="str">
            <v>11-IN NON-RES</v>
          </cell>
          <cell r="R24">
            <v>7123726</v>
          </cell>
          <cell r="S24">
            <v>26742984</v>
          </cell>
          <cell r="T24">
            <v>33866710</v>
          </cell>
          <cell r="U24" t="str">
            <v>12-IN  NON-RES</v>
          </cell>
          <cell r="V24">
            <v>644784</v>
          </cell>
          <cell r="W24">
            <v>1306317</v>
          </cell>
          <cell r="X24">
            <v>1951101</v>
          </cell>
          <cell r="AC24" t="str">
            <v>11-OUT NON-RES</v>
          </cell>
          <cell r="AD24">
            <v>7092712</v>
          </cell>
          <cell r="AE24">
            <v>29225117</v>
          </cell>
          <cell r="AF24">
            <v>36317829</v>
          </cell>
          <cell r="AG24" t="str">
            <v>16-IN NON-RES</v>
          </cell>
          <cell r="AH24">
            <v>99404172</v>
          </cell>
          <cell r="AI24">
            <v>50266148</v>
          </cell>
          <cell r="AJ24">
            <v>149670320</v>
          </cell>
          <cell r="AK24" t="str">
            <v>2-C-IN  NON-RES</v>
          </cell>
          <cell r="AL24">
            <v>458454</v>
          </cell>
          <cell r="AM24">
            <v>1662975</v>
          </cell>
          <cell r="AN24">
            <v>2121429</v>
          </cell>
          <cell r="AO24" t="str">
            <v>TOTAL NON-RES</v>
          </cell>
          <cell r="AP24">
            <v>35150721</v>
          </cell>
          <cell r="AQ24">
            <v>36652553</v>
          </cell>
          <cell r="AR24">
            <v>71803274</v>
          </cell>
          <cell r="AS24" t="str">
            <v>24/25 NON-RES</v>
          </cell>
          <cell r="AT24">
            <v>659082</v>
          </cell>
          <cell r="AU24">
            <v>478123</v>
          </cell>
          <cell r="AV24">
            <v>1137205</v>
          </cell>
          <cell r="AW24" t="str">
            <v>6-OUT NON-RES</v>
          </cell>
          <cell r="AX24">
            <v>7731399</v>
          </cell>
          <cell r="AY24">
            <v>18335448</v>
          </cell>
          <cell r="AZ24">
            <v>26066847</v>
          </cell>
          <cell r="BA24" t="str">
            <v>16-IN NON-RES</v>
          </cell>
          <cell r="BB24">
            <v>22001844</v>
          </cell>
          <cell r="BC24">
            <v>131713026</v>
          </cell>
          <cell r="BD24">
            <v>153714870</v>
          </cell>
          <cell r="BE24" t="str">
            <v>7-OUT NON-RES</v>
          </cell>
          <cell r="BF24">
            <v>12135802</v>
          </cell>
          <cell r="BG24">
            <v>9635254</v>
          </cell>
          <cell r="BH24">
            <v>21771056</v>
          </cell>
          <cell r="BM24" t="str">
            <v>=</v>
          </cell>
          <cell r="BN24" t="str">
            <v>=</v>
          </cell>
          <cell r="BO24" t="str">
            <v>=</v>
          </cell>
          <cell r="BP24" t="str">
            <v>=</v>
          </cell>
          <cell r="BQ24" t="str">
            <v>=</v>
          </cell>
          <cell r="BR24" t="str">
            <v>=</v>
          </cell>
          <cell r="BS24" t="str">
            <v>=</v>
          </cell>
          <cell r="BT24" t="str">
            <v>=</v>
          </cell>
          <cell r="BU24" t="str">
            <v>12-C NON-RES</v>
          </cell>
          <cell r="BV24">
            <v>1030317</v>
          </cell>
          <cell r="BW24">
            <v>693563</v>
          </cell>
          <cell r="BX24">
            <v>1723880</v>
          </cell>
          <cell r="BY24" t="str">
            <v>11-IN NON-RES</v>
          </cell>
          <cell r="BZ24">
            <v>2258151</v>
          </cell>
          <cell r="CA24">
            <v>7691602</v>
          </cell>
          <cell r="CB24">
            <v>9949753</v>
          </cell>
          <cell r="CC24" t="str">
            <v>32-IN NON-RES</v>
          </cell>
          <cell r="CD24">
            <v>536113</v>
          </cell>
          <cell r="CE24">
            <v>5071356</v>
          </cell>
          <cell r="CF24">
            <v>5607469</v>
          </cell>
          <cell r="CG24" t="str">
            <v>45-OUT NON-RES</v>
          </cell>
          <cell r="CH24">
            <v>9630774</v>
          </cell>
          <cell r="CI24">
            <v>39854746</v>
          </cell>
          <cell r="CJ24">
            <v>49485520</v>
          </cell>
          <cell r="CK24" t="str">
            <v>3 NON-RES</v>
          </cell>
          <cell r="CL24">
            <v>2115244</v>
          </cell>
          <cell r="CM24">
            <v>15334779</v>
          </cell>
          <cell r="CN24">
            <v>17450023</v>
          </cell>
          <cell r="CO24" t="str">
            <v>2-A-RR-OUT NON-RES</v>
          </cell>
          <cell r="CP24">
            <v>2633990</v>
          </cell>
          <cell r="CQ24">
            <v>29350835</v>
          </cell>
          <cell r="CR24">
            <v>31984825</v>
          </cell>
          <cell r="CS24" t="str">
            <v>6-IN NON-RES</v>
          </cell>
          <cell r="CT24">
            <v>5137329</v>
          </cell>
          <cell r="CU24">
            <v>30543951</v>
          </cell>
          <cell r="CV24">
            <v>35681280</v>
          </cell>
          <cell r="CW24" t="str">
            <v>21-IN NON-RES</v>
          </cell>
          <cell r="CX24">
            <v>983485</v>
          </cell>
          <cell r="CY24">
            <v>2236422</v>
          </cell>
          <cell r="CZ24">
            <v>3219907</v>
          </cell>
          <cell r="DA24" t="str">
            <v>OUT 8-T   NON-RES</v>
          </cell>
          <cell r="DB24">
            <v>5050018</v>
          </cell>
          <cell r="DC24">
            <v>28646088</v>
          </cell>
          <cell r="DD24">
            <v>33696106</v>
          </cell>
          <cell r="DE24" t="str">
            <v>TOTAL NON-RES</v>
          </cell>
          <cell r="DF24">
            <v>26304388</v>
          </cell>
          <cell r="DG24">
            <v>80328586</v>
          </cell>
          <cell r="DH24">
            <v>106632974</v>
          </cell>
          <cell r="DI24" t="str">
            <v>12-IN NON-RES</v>
          </cell>
          <cell r="DJ24">
            <v>634064</v>
          </cell>
          <cell r="DK24">
            <v>697267</v>
          </cell>
          <cell r="DL24">
            <v>1331331</v>
          </cell>
          <cell r="DM24" t="str">
            <v>6  NON-RES</v>
          </cell>
          <cell r="DN24">
            <v>4626779</v>
          </cell>
          <cell r="DO24">
            <v>17187518</v>
          </cell>
          <cell r="DP24">
            <v>21814297</v>
          </cell>
          <cell r="DQ24" t="str">
            <v>8-OUT NON-RES</v>
          </cell>
          <cell r="DR24">
            <v>18026753</v>
          </cell>
          <cell r="DS24">
            <v>23923433</v>
          </cell>
          <cell r="DT24">
            <v>41950186</v>
          </cell>
          <cell r="DU24" t="str">
            <v>22-G-IN  NON-RES</v>
          </cell>
          <cell r="DV24">
            <v>226478</v>
          </cell>
          <cell r="DW24">
            <v>23872</v>
          </cell>
          <cell r="DX24">
            <v>250350</v>
          </cell>
          <cell r="DY24" t="str">
            <v>BN-03 NON-RES</v>
          </cell>
          <cell r="DZ24">
            <v>0</v>
          </cell>
          <cell r="EA24">
            <v>76942</v>
          </cell>
          <cell r="EB24">
            <v>76942</v>
          </cell>
          <cell r="ED24" t="str">
            <v>LOS ALAMOS</v>
          </cell>
          <cell r="EE24">
            <v>8046650</v>
          </cell>
          <cell r="EF24">
            <v>727811940</v>
          </cell>
        </row>
        <row r="25">
          <cell r="A25" t="str">
            <v>2-A-IN RESIDENTIAL</v>
          </cell>
          <cell r="C25">
            <v>0</v>
          </cell>
          <cell r="D25">
            <v>0</v>
          </cell>
          <cell r="E25" t="str">
            <v>TOTAL RESIDENTIAL</v>
          </cell>
          <cell r="G25">
            <v>54441995</v>
          </cell>
          <cell r="H25">
            <v>54441995</v>
          </cell>
          <cell r="I25" t="str">
            <v>6-OUT RESIDENTIAL</v>
          </cell>
          <cell r="K25">
            <v>4215186</v>
          </cell>
          <cell r="L25">
            <v>4215186</v>
          </cell>
          <cell r="M25" t="str">
            <v>TOTAL RESIDENTIAL</v>
          </cell>
          <cell r="N25">
            <v>0</v>
          </cell>
          <cell r="O25">
            <v>91712861</v>
          </cell>
          <cell r="P25">
            <v>91712861</v>
          </cell>
          <cell r="Q25" t="str">
            <v>11-IN RESIDENTIAL</v>
          </cell>
          <cell r="S25">
            <v>56011787</v>
          </cell>
          <cell r="T25">
            <v>56011787</v>
          </cell>
          <cell r="U25" t="str">
            <v>12-IN  RESIDENTIAL</v>
          </cell>
          <cell r="W25">
            <v>3014496</v>
          </cell>
          <cell r="X25">
            <v>3014496</v>
          </cell>
          <cell r="AC25" t="str">
            <v>11-OUT RESIDENTIAL</v>
          </cell>
          <cell r="AE25">
            <v>18935712</v>
          </cell>
          <cell r="AF25">
            <v>18935712</v>
          </cell>
          <cell r="AG25" t="str">
            <v>16-IN RESIDENTIAL</v>
          </cell>
          <cell r="AI25">
            <v>76710988</v>
          </cell>
          <cell r="AJ25">
            <v>76710988</v>
          </cell>
          <cell r="AK25" t="str">
            <v>2-C-IN  RESIDENTIAL</v>
          </cell>
          <cell r="AM25">
            <v>9455049</v>
          </cell>
          <cell r="AN25">
            <v>9455049</v>
          </cell>
          <cell r="AO25" t="str">
            <v>TOTAL RESIDENTIAL</v>
          </cell>
          <cell r="AP25">
            <v>0</v>
          </cell>
          <cell r="AQ25">
            <v>24825250</v>
          </cell>
          <cell r="AR25">
            <v>24825250</v>
          </cell>
          <cell r="AS25" t="str">
            <v>24/25 RESIDENTIAL</v>
          </cell>
          <cell r="AT25">
            <v>0</v>
          </cell>
          <cell r="AU25">
            <v>411462</v>
          </cell>
          <cell r="AV25">
            <v>411462</v>
          </cell>
          <cell r="AW25" t="str">
            <v>6-OUT RESIDENTIAL</v>
          </cell>
          <cell r="AY25">
            <v>4150849</v>
          </cell>
          <cell r="AZ25">
            <v>4150849</v>
          </cell>
          <cell r="BA25" t="str">
            <v>16-IN RESIDENTIAL</v>
          </cell>
          <cell r="BB25">
            <v>0</v>
          </cell>
          <cell r="BC25">
            <v>176079720</v>
          </cell>
          <cell r="BD25">
            <v>176079720</v>
          </cell>
          <cell r="BE25" t="str">
            <v>7-OUT RESIDENTIAL</v>
          </cell>
          <cell r="BG25">
            <v>9027318</v>
          </cell>
          <cell r="BH25">
            <v>9027318</v>
          </cell>
          <cell r="BM25" t="str">
            <v>FILE:CAVAL08</v>
          </cell>
          <cell r="BO25" t="str">
            <v>TAX YEAR  08</v>
          </cell>
          <cell r="BQ25" t="str">
            <v>FILE:CAVAL08</v>
          </cell>
          <cell r="BS25" t="str">
            <v>TAX YEAR  08</v>
          </cell>
          <cell r="BU25" t="str">
            <v>12-C RESIDENTIAL</v>
          </cell>
          <cell r="BW25">
            <v>2322318</v>
          </cell>
          <cell r="BX25">
            <v>2322318</v>
          </cell>
          <cell r="BY25" t="str">
            <v>11-IN RESIDENTIAL</v>
          </cell>
          <cell r="BZ25">
            <v>0</v>
          </cell>
          <cell r="CA25">
            <v>28882501</v>
          </cell>
          <cell r="CB25">
            <v>28882501</v>
          </cell>
          <cell r="CC25" t="str">
            <v>32-IN RESIDENTIAL</v>
          </cell>
          <cell r="CE25">
            <v>11010166</v>
          </cell>
          <cell r="CF25">
            <v>11010166</v>
          </cell>
          <cell r="CG25" t="str">
            <v>45-OUT RESIDENTIAL</v>
          </cell>
          <cell r="CI25">
            <v>224098706</v>
          </cell>
          <cell r="CJ25">
            <v>224098706</v>
          </cell>
          <cell r="CK25" t="str">
            <v>3 RESIDENTIAL</v>
          </cell>
          <cell r="CL25">
            <v>0</v>
          </cell>
          <cell r="CM25">
            <v>1348331</v>
          </cell>
          <cell r="CN25">
            <v>1348331</v>
          </cell>
          <cell r="CO25" t="str">
            <v>2-A-RR-OUT RESIDENTIAL</v>
          </cell>
          <cell r="CQ25">
            <v>237957025</v>
          </cell>
          <cell r="CR25">
            <v>237957025</v>
          </cell>
          <cell r="CS25" t="str">
            <v>6-IN RESIDENTIAL</v>
          </cell>
          <cell r="CU25">
            <v>53353759</v>
          </cell>
          <cell r="CV25">
            <v>53353759</v>
          </cell>
          <cell r="CW25" t="str">
            <v>21-IN RESIDENTIAL</v>
          </cell>
          <cell r="CX25">
            <v>0</v>
          </cell>
          <cell r="CY25">
            <v>12830746</v>
          </cell>
          <cell r="CZ25">
            <v>12830746</v>
          </cell>
          <cell r="DA25" t="str">
            <v>OUT 8-T  RESIDENTIAL</v>
          </cell>
          <cell r="DB25">
            <v>0</v>
          </cell>
          <cell r="DC25">
            <v>98350132</v>
          </cell>
          <cell r="DD25">
            <v>98350132</v>
          </cell>
          <cell r="DE25" t="str">
            <v>TOTAL RESIDENTIAL</v>
          </cell>
          <cell r="DF25">
            <v>0</v>
          </cell>
          <cell r="DG25">
            <v>141257120</v>
          </cell>
          <cell r="DH25">
            <v>141257120</v>
          </cell>
          <cell r="DI25" t="str">
            <v>12-IN RESIDENTIAL</v>
          </cell>
          <cell r="DK25">
            <v>3291537</v>
          </cell>
          <cell r="DL25">
            <v>3291537</v>
          </cell>
          <cell r="DM25" t="str">
            <v>6  RESIDENTIAL</v>
          </cell>
          <cell r="DO25">
            <v>12885766</v>
          </cell>
          <cell r="DP25">
            <v>12885766</v>
          </cell>
          <cell r="DQ25" t="str">
            <v>8-OUT RESIDENTIAL</v>
          </cell>
          <cell r="DR25">
            <v>0</v>
          </cell>
          <cell r="DS25">
            <v>65664189</v>
          </cell>
          <cell r="DT25">
            <v>65664189</v>
          </cell>
          <cell r="DU25" t="str">
            <v>22-G-IN  RESIDENTIAL</v>
          </cell>
          <cell r="DV25">
            <v>0</v>
          </cell>
          <cell r="DW25">
            <v>88495</v>
          </cell>
          <cell r="DX25">
            <v>88495</v>
          </cell>
          <cell r="DY25" t="str">
            <v>BN-03 RESIDENTIAL</v>
          </cell>
          <cell r="EA25">
            <v>1247556</v>
          </cell>
          <cell r="EB25">
            <v>1247556</v>
          </cell>
          <cell r="ED25" t="str">
            <v>LUNA</v>
          </cell>
          <cell r="EE25">
            <v>119100515</v>
          </cell>
          <cell r="EF25">
            <v>333317714</v>
          </cell>
        </row>
        <row r="26">
          <cell r="A26" t="str">
            <v>TOTAL</v>
          </cell>
          <cell r="B26">
            <v>0</v>
          </cell>
          <cell r="C26">
            <v>0</v>
          </cell>
          <cell r="D26">
            <v>0</v>
          </cell>
          <cell r="E26" t="str">
            <v>-</v>
          </cell>
          <cell r="F26" t="str">
            <v>-</v>
          </cell>
          <cell r="G26" t="str">
            <v>-</v>
          </cell>
          <cell r="H26" t="str">
            <v>-</v>
          </cell>
          <cell r="I26" t="str">
            <v>TOTAL</v>
          </cell>
          <cell r="J26">
            <v>6062684</v>
          </cell>
          <cell r="K26">
            <v>14518656</v>
          </cell>
          <cell r="L26">
            <v>20581340</v>
          </cell>
          <cell r="M26" t="str">
            <v>-</v>
          </cell>
          <cell r="N26" t="str">
            <v>-</v>
          </cell>
          <cell r="O26" t="str">
            <v>-</v>
          </cell>
          <cell r="P26" t="str">
            <v>-</v>
          </cell>
          <cell r="Q26" t="str">
            <v>TOTAL</v>
          </cell>
          <cell r="R26">
            <v>7123726</v>
          </cell>
          <cell r="S26">
            <v>82754771</v>
          </cell>
          <cell r="T26">
            <v>89878497</v>
          </cell>
          <cell r="U26" t="str">
            <v>TOTAL</v>
          </cell>
          <cell r="V26">
            <v>644784</v>
          </cell>
          <cell r="W26" t="str">
            <v xml:space="preserve">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X26">
            <v>644784</v>
          </cell>
          <cell r="AC26" t="str">
            <v>TOTAL</v>
          </cell>
          <cell r="AD26">
            <v>7092712</v>
          </cell>
          <cell r="AE26">
            <v>48160829</v>
          </cell>
          <cell r="AF26">
            <v>55253541</v>
          </cell>
          <cell r="AG26" t="str">
            <v>TOTAL</v>
          </cell>
          <cell r="AH26">
            <v>99404172</v>
          </cell>
          <cell r="AI26">
            <v>126977136</v>
          </cell>
          <cell r="AJ26">
            <v>226381308</v>
          </cell>
          <cell r="AK26" t="str">
            <v>TOTAL</v>
          </cell>
          <cell r="AL26">
            <v>458454</v>
          </cell>
          <cell r="AM26">
            <v>11118024</v>
          </cell>
          <cell r="AN26">
            <v>11576478</v>
          </cell>
          <cell r="AO26" t="str">
            <v>-</v>
          </cell>
          <cell r="AP26" t="str">
            <v>-</v>
          </cell>
          <cell r="AQ26" t="str">
            <v>-</v>
          </cell>
          <cell r="AR26" t="str">
            <v>-</v>
          </cell>
          <cell r="AS26" t="str">
            <v>TOTAL</v>
          </cell>
          <cell r="AT26">
            <v>659082</v>
          </cell>
          <cell r="AU26">
            <v>889585</v>
          </cell>
          <cell r="AV26">
            <v>1548667</v>
          </cell>
          <cell r="AW26" t="str">
            <v>TOTAL</v>
          </cell>
          <cell r="AX26">
            <v>7731399</v>
          </cell>
          <cell r="AY26">
            <v>22486297</v>
          </cell>
          <cell r="AZ26">
            <v>30217696</v>
          </cell>
          <cell r="BA26" t="str">
            <v>TOTAL</v>
          </cell>
          <cell r="BB26">
            <v>22001844</v>
          </cell>
          <cell r="BC26">
            <v>307792746</v>
          </cell>
          <cell r="BD26">
            <v>329794590</v>
          </cell>
          <cell r="BE26" t="str">
            <v>TOTAL</v>
          </cell>
          <cell r="BF26">
            <v>12135802</v>
          </cell>
          <cell r="BG26">
            <v>18662572</v>
          </cell>
          <cell r="BH26">
            <v>30798374</v>
          </cell>
          <cell r="BO26" t="str">
            <v>FINAL</v>
          </cell>
          <cell r="BS26" t="str">
            <v>FINAL</v>
          </cell>
          <cell r="BU26" t="str">
            <v>TOTAL</v>
          </cell>
          <cell r="BV26">
            <v>1030317</v>
          </cell>
          <cell r="BW26">
            <v>3015881</v>
          </cell>
          <cell r="BX26">
            <v>4046198</v>
          </cell>
          <cell r="BY26" t="str">
            <v>TOTAL</v>
          </cell>
          <cell r="BZ26">
            <v>2258151</v>
          </cell>
          <cell r="CA26">
            <v>36574103</v>
          </cell>
          <cell r="CB26">
            <v>38832254</v>
          </cell>
          <cell r="CC26" t="str">
            <v>TOTAL</v>
          </cell>
          <cell r="CD26">
            <v>536113</v>
          </cell>
          <cell r="CE26">
            <v>16081522</v>
          </cell>
          <cell r="CF26">
            <v>16617635</v>
          </cell>
          <cell r="CG26" t="str">
            <v>TOTAL</v>
          </cell>
          <cell r="CH26">
            <v>9630774</v>
          </cell>
          <cell r="CI26">
            <v>263953452</v>
          </cell>
          <cell r="CJ26">
            <v>273584226</v>
          </cell>
          <cell r="CK26" t="str">
            <v>TOTAL</v>
          </cell>
          <cell r="CL26">
            <v>2115244</v>
          </cell>
          <cell r="CM26">
            <v>16683110</v>
          </cell>
          <cell r="CN26">
            <v>18798354</v>
          </cell>
          <cell r="CO26" t="str">
            <v>TOTAL</v>
          </cell>
          <cell r="CP26">
            <v>2633990</v>
          </cell>
          <cell r="CQ26">
            <v>267307860</v>
          </cell>
          <cell r="CR26">
            <v>269941850</v>
          </cell>
          <cell r="CS26" t="str">
            <v>TOTAL</v>
          </cell>
          <cell r="CT26">
            <v>5137329</v>
          </cell>
          <cell r="CU26">
            <v>83897710</v>
          </cell>
          <cell r="CV26">
            <v>89035039</v>
          </cell>
          <cell r="CW26" t="str">
            <v>TOTAL</v>
          </cell>
          <cell r="CX26">
            <v>983485</v>
          </cell>
          <cell r="CY26">
            <v>15067168</v>
          </cell>
          <cell r="CZ26">
            <v>16050653</v>
          </cell>
          <cell r="DA26" t="str">
            <v>TOTAL</v>
          </cell>
          <cell r="DB26">
            <v>5050018</v>
          </cell>
          <cell r="DC26">
            <v>126996220</v>
          </cell>
          <cell r="DD26">
            <v>132046238</v>
          </cell>
          <cell r="DE26" t="str">
            <v>-</v>
          </cell>
          <cell r="DF26" t="str">
            <v>-</v>
          </cell>
          <cell r="DG26" t="str">
            <v>-</v>
          </cell>
          <cell r="DH26" t="str">
            <v>-</v>
          </cell>
          <cell r="DI26" t="str">
            <v>TOTAL</v>
          </cell>
          <cell r="DJ26">
            <v>634064</v>
          </cell>
          <cell r="DK26">
            <v>3988804</v>
          </cell>
          <cell r="DL26">
            <v>4622868</v>
          </cell>
          <cell r="DM26" t="str">
            <v>TOTAL</v>
          </cell>
          <cell r="DN26">
            <v>4626779</v>
          </cell>
          <cell r="DO26">
            <v>30073284</v>
          </cell>
          <cell r="DP26">
            <v>34700063</v>
          </cell>
          <cell r="DQ26" t="str">
            <v>TOTAL</v>
          </cell>
          <cell r="DR26">
            <v>18026753</v>
          </cell>
          <cell r="DS26">
            <v>89587622</v>
          </cell>
          <cell r="DT26">
            <v>107614375</v>
          </cell>
          <cell r="DU26" t="str">
            <v>TOTAL</v>
          </cell>
          <cell r="DV26">
            <v>226478</v>
          </cell>
          <cell r="DW26">
            <v>112367</v>
          </cell>
          <cell r="DX26">
            <v>338845</v>
          </cell>
          <cell r="DY26" t="str">
            <v>TOTAL</v>
          </cell>
          <cell r="DZ26">
            <v>0</v>
          </cell>
          <cell r="EA26">
            <v>1324498</v>
          </cell>
          <cell r="EB26">
            <v>1324498</v>
          </cell>
        </row>
        <row r="27">
          <cell r="E27" t="str">
            <v>GRAND TOTAL</v>
          </cell>
          <cell r="F27">
            <v>17849048</v>
          </cell>
          <cell r="G27">
            <v>90841105</v>
          </cell>
          <cell r="H27">
            <v>108690153</v>
          </cell>
          <cell r="M27" t="str">
            <v>GRAND TOTAL</v>
          </cell>
          <cell r="N27">
            <v>47370224</v>
          </cell>
          <cell r="O27">
            <v>205618699</v>
          </cell>
          <cell r="P27">
            <v>252988923</v>
          </cell>
          <cell r="AO27" t="str">
            <v>GRAND TOTAL</v>
          </cell>
          <cell r="AP27">
            <v>35150721</v>
          </cell>
          <cell r="AQ27">
            <v>61477803</v>
          </cell>
          <cell r="AR27">
            <v>96628524</v>
          </cell>
          <cell r="AS27" t="str">
            <v>-</v>
          </cell>
          <cell r="AT27" t="str">
            <v>-</v>
          </cell>
          <cell r="AU27" t="str">
            <v>-</v>
          </cell>
          <cell r="AV27" t="str">
            <v>-</v>
          </cell>
          <cell r="AW27" t="str">
            <v>-</v>
          </cell>
          <cell r="AX27" t="str">
            <v>-</v>
          </cell>
          <cell r="AY27" t="str">
            <v>-</v>
          </cell>
          <cell r="AZ27" t="str">
            <v>-</v>
          </cell>
          <cell r="BU27" t="str">
            <v>-</v>
          </cell>
          <cell r="BV27" t="str">
            <v>-</v>
          </cell>
          <cell r="BW27" t="str">
            <v>-</v>
          </cell>
          <cell r="BX27" t="str">
            <v>-</v>
          </cell>
          <cell r="DE27" t="str">
            <v>GRAND TOTAL</v>
          </cell>
          <cell r="DF27">
            <v>26304388</v>
          </cell>
          <cell r="DG27">
            <v>221585706</v>
          </cell>
          <cell r="DH27">
            <v>247890094</v>
          </cell>
          <cell r="ED27" t="str">
            <v>MCKINLEY</v>
          </cell>
          <cell r="EE27">
            <v>251806935</v>
          </cell>
          <cell r="EF27">
            <v>431101430</v>
          </cell>
        </row>
        <row r="28">
          <cell r="A28" t="str">
            <v>8-T NON-RES</v>
          </cell>
          <cell r="B28">
            <v>115848</v>
          </cell>
          <cell r="C28">
            <v>0</v>
          </cell>
          <cell r="D28">
            <v>115848</v>
          </cell>
          <cell r="E28" t="str">
            <v>=</v>
          </cell>
          <cell r="F28" t="str">
            <v>=</v>
          </cell>
          <cell r="G28" t="str">
            <v>=</v>
          </cell>
          <cell r="H28" t="str">
            <v>=</v>
          </cell>
          <cell r="I28" t="str">
            <v>8-IN NON-RES</v>
          </cell>
          <cell r="J28">
            <v>758658</v>
          </cell>
          <cell r="K28">
            <v>1071387</v>
          </cell>
          <cell r="L28">
            <v>1830045</v>
          </cell>
          <cell r="M28" t="str">
            <v>=</v>
          </cell>
          <cell r="N28" t="str">
            <v>=</v>
          </cell>
          <cell r="O28" t="str">
            <v>=</v>
          </cell>
          <cell r="P28" t="str">
            <v>=</v>
          </cell>
          <cell r="Q28" t="str">
            <v>11-OUT NON-RES</v>
          </cell>
          <cell r="R28">
            <v>7780888</v>
          </cell>
          <cell r="S28">
            <v>11368025</v>
          </cell>
          <cell r="T28">
            <v>19148913</v>
          </cell>
          <cell r="U28" t="str">
            <v>12-OUT  NON-RES</v>
          </cell>
          <cell r="V28">
            <v>5643838</v>
          </cell>
          <cell r="W28">
            <v>3449411</v>
          </cell>
          <cell r="X28">
            <v>9093249</v>
          </cell>
          <cell r="AC28" t="str">
            <v>16-IN NON-RES</v>
          </cell>
          <cell r="AD28">
            <v>15549476</v>
          </cell>
          <cell r="AE28">
            <v>54695519</v>
          </cell>
          <cell r="AF28">
            <v>70244995</v>
          </cell>
          <cell r="AG28" t="str">
            <v>16-OUT NON-RES</v>
          </cell>
          <cell r="AH28">
            <v>93014459</v>
          </cell>
          <cell r="AI28">
            <v>46441428</v>
          </cell>
          <cell r="AJ28">
            <v>139455887</v>
          </cell>
          <cell r="AK28" t="str">
            <v>2-OUT NON-RES</v>
          </cell>
          <cell r="AL28">
            <v>4827711</v>
          </cell>
          <cell r="AM28">
            <v>13564725</v>
          </cell>
          <cell r="AN28">
            <v>18392436</v>
          </cell>
          <cell r="AO28" t="str">
            <v>=</v>
          </cell>
          <cell r="AP28" t="str">
            <v>=</v>
          </cell>
          <cell r="AQ28" t="str">
            <v>=</v>
          </cell>
          <cell r="AR28" t="str">
            <v>=</v>
          </cell>
          <cell r="AS28" t="str">
            <v>TOTAL NON-RES</v>
          </cell>
          <cell r="AT28">
            <v>4828150</v>
          </cell>
          <cell r="AU28">
            <v>16133197</v>
          </cell>
          <cell r="AV28">
            <v>20961347</v>
          </cell>
          <cell r="AW28" t="str">
            <v>TOTAL NON-RES</v>
          </cell>
          <cell r="AX28">
            <v>78832989</v>
          </cell>
          <cell r="AY28">
            <v>45557198</v>
          </cell>
          <cell r="AZ28">
            <v>124390187</v>
          </cell>
          <cell r="BA28" t="str">
            <v>16-OUT NON-RES</v>
          </cell>
          <cell r="BB28">
            <v>65478149</v>
          </cell>
          <cell r="BC28">
            <v>32073667</v>
          </cell>
          <cell r="BD28">
            <v>97551816</v>
          </cell>
          <cell r="BE28" t="str">
            <v>13-IN NON-RES</v>
          </cell>
          <cell r="BF28">
            <v>687400</v>
          </cell>
          <cell r="BG28">
            <v>332984</v>
          </cell>
          <cell r="BH28">
            <v>1020384</v>
          </cell>
          <cell r="BU28" t="str">
            <v>TOTAL NON-RES</v>
          </cell>
          <cell r="BV28">
            <v>11758410</v>
          </cell>
          <cell r="BW28">
            <v>24522376</v>
          </cell>
          <cell r="BX28">
            <v>36280786</v>
          </cell>
          <cell r="BY28" t="str">
            <v>11-OUT NON-RES</v>
          </cell>
          <cell r="BZ28">
            <v>8258897</v>
          </cell>
          <cell r="CA28">
            <v>26037381</v>
          </cell>
          <cell r="CB28">
            <v>34296278</v>
          </cell>
          <cell r="CC28" t="str">
            <v>32-OUT NON-RES</v>
          </cell>
          <cell r="CD28">
            <v>5218935</v>
          </cell>
          <cell r="CE28">
            <v>1337241</v>
          </cell>
          <cell r="CF28">
            <v>6556176</v>
          </cell>
          <cell r="CG28" t="str">
            <v>53  NON-RES</v>
          </cell>
          <cell r="CH28">
            <v>32201607</v>
          </cell>
          <cell r="CI28">
            <v>11881646</v>
          </cell>
          <cell r="CJ28">
            <v>44083253</v>
          </cell>
          <cell r="CK28" t="str">
            <v>5-IN NON-RES</v>
          </cell>
          <cell r="CL28">
            <v>60858</v>
          </cell>
          <cell r="CM28">
            <v>116299</v>
          </cell>
          <cell r="CN28">
            <v>177157</v>
          </cell>
          <cell r="CO28" t="str">
            <v>31-RR NON-RES</v>
          </cell>
          <cell r="CP28">
            <v>0</v>
          </cell>
          <cell r="CQ28">
            <v>0</v>
          </cell>
          <cell r="CR28">
            <v>0</v>
          </cell>
          <cell r="CS28" t="str">
            <v>6-OUT NON-RES</v>
          </cell>
          <cell r="CT28">
            <v>225005228</v>
          </cell>
          <cell r="CU28">
            <v>38122202</v>
          </cell>
          <cell r="CV28">
            <v>263127430</v>
          </cell>
          <cell r="CW28" t="str">
            <v>21-OUT NON-RES</v>
          </cell>
          <cell r="CX28">
            <v>3846129</v>
          </cell>
          <cell r="CY28">
            <v>18188030</v>
          </cell>
          <cell r="CZ28">
            <v>22034159</v>
          </cell>
          <cell r="DA28" t="str">
            <v>18-IN NON-RES</v>
          </cell>
          <cell r="DB28">
            <v>965065</v>
          </cell>
          <cell r="DC28">
            <v>12777695</v>
          </cell>
          <cell r="DD28">
            <v>13742760</v>
          </cell>
          <cell r="DE28" t="str">
            <v>=</v>
          </cell>
          <cell r="DF28" t="str">
            <v>=</v>
          </cell>
          <cell r="DG28" t="str">
            <v>=</v>
          </cell>
          <cell r="DH28" t="str">
            <v>=</v>
          </cell>
          <cell r="DI28" t="str">
            <v>12-OUT NON-RES</v>
          </cell>
          <cell r="DJ28">
            <v>2971318</v>
          </cell>
          <cell r="DK28">
            <v>6666352</v>
          </cell>
          <cell r="DL28">
            <v>9637670</v>
          </cell>
          <cell r="DM28" t="str">
            <v>9-IN NON-RES</v>
          </cell>
          <cell r="DN28">
            <v>1268969</v>
          </cell>
          <cell r="DO28">
            <v>5522528</v>
          </cell>
          <cell r="DP28">
            <v>6791497</v>
          </cell>
          <cell r="DQ28" t="str">
            <v>13-IN NON-RES</v>
          </cell>
          <cell r="DR28">
            <v>1051221</v>
          </cell>
          <cell r="DS28">
            <v>2085765</v>
          </cell>
          <cell r="DT28">
            <v>3136986</v>
          </cell>
          <cell r="DU28" t="str">
            <v>22-OUT NON-RES</v>
          </cell>
          <cell r="DV28">
            <v>9738108</v>
          </cell>
          <cell r="DW28">
            <v>5334388</v>
          </cell>
          <cell r="DX28">
            <v>15072496</v>
          </cell>
          <cell r="DY28" t="str">
            <v>2-IN  NON-RES</v>
          </cell>
          <cell r="DZ28">
            <v>9307364</v>
          </cell>
          <cell r="EA28">
            <v>32223499</v>
          </cell>
          <cell r="EB28">
            <v>41530863</v>
          </cell>
          <cell r="ED28" t="str">
            <v>MORA</v>
          </cell>
          <cell r="EE28">
            <v>11758410</v>
          </cell>
          <cell r="EF28">
            <v>73953216</v>
          </cell>
        </row>
        <row r="29">
          <cell r="A29" t="str">
            <v>8-T RESIDENTIAL</v>
          </cell>
          <cell r="C29">
            <v>0</v>
          </cell>
          <cell r="D29">
            <v>0</v>
          </cell>
          <cell r="E29" t="str">
            <v>FILE:CAVAL08</v>
          </cell>
          <cell r="G29" t="str">
            <v>TOTAL 2008</v>
          </cell>
          <cell r="I29" t="str">
            <v>8-IN RESIDENTIAL</v>
          </cell>
          <cell r="K29">
            <v>5027474</v>
          </cell>
          <cell r="L29">
            <v>5027474</v>
          </cell>
          <cell r="M29" t="str">
            <v>FILE:CAVAL08</v>
          </cell>
          <cell r="O29" t="str">
            <v>TAX YEAR  08</v>
          </cell>
          <cell r="Q29" t="str">
            <v>11-OUT RESIDENTIAL</v>
          </cell>
          <cell r="S29">
            <v>21548309</v>
          </cell>
          <cell r="T29">
            <v>21548309</v>
          </cell>
          <cell r="U29" t="str">
            <v>12-OUT RESIDENTIAL</v>
          </cell>
          <cell r="W29">
            <v>2663016</v>
          </cell>
          <cell r="X29">
            <v>2663016</v>
          </cell>
          <cell r="AC29" t="str">
            <v>16-IN RESIDENTIAL</v>
          </cell>
          <cell r="AE29">
            <v>71129982</v>
          </cell>
          <cell r="AF29">
            <v>71129982</v>
          </cell>
          <cell r="AG29" t="str">
            <v>16-OUT RESIDENTIAL</v>
          </cell>
          <cell r="AH29">
            <v>0</v>
          </cell>
          <cell r="AI29">
            <v>42805902</v>
          </cell>
          <cell r="AJ29">
            <v>42805902</v>
          </cell>
          <cell r="AK29" t="str">
            <v>2-OUT RESIDENTIAL</v>
          </cell>
          <cell r="AM29">
            <v>30363787</v>
          </cell>
          <cell r="AN29">
            <v>30363787</v>
          </cell>
          <cell r="AO29" t="str">
            <v>FILE:CAVAL08</v>
          </cell>
          <cell r="AQ29" t="str">
            <v>TAX YEAR  08</v>
          </cell>
          <cell r="AS29" t="str">
            <v>TOTAL RESIDENTIAL</v>
          </cell>
          <cell r="AT29">
            <v>0</v>
          </cell>
          <cell r="AU29">
            <v>4547590</v>
          </cell>
          <cell r="AV29">
            <v>4547590</v>
          </cell>
          <cell r="AW29" t="str">
            <v>TOTAL RESIDENTIAL</v>
          </cell>
          <cell r="AX29">
            <v>0</v>
          </cell>
          <cell r="AY29">
            <v>16953069</v>
          </cell>
          <cell r="AZ29">
            <v>16953069</v>
          </cell>
          <cell r="BA29" t="str">
            <v>16-OUT RESIDENTIAL</v>
          </cell>
          <cell r="BB29">
            <v>0</v>
          </cell>
          <cell r="BC29">
            <v>59182326</v>
          </cell>
          <cell r="BD29">
            <v>59182326</v>
          </cell>
          <cell r="BE29" t="str">
            <v>13-IN RESIDENTIAL</v>
          </cell>
          <cell r="BG29">
            <v>1001243</v>
          </cell>
          <cell r="BH29">
            <v>1001243</v>
          </cell>
          <cell r="BU29" t="str">
            <v>TOTAL RESIDENTIAL</v>
          </cell>
          <cell r="BV29">
            <v>0</v>
          </cell>
          <cell r="BW29">
            <v>49430840</v>
          </cell>
          <cell r="BX29">
            <v>49430840</v>
          </cell>
          <cell r="BY29" t="str">
            <v>11-OUT RESIDENTIAL</v>
          </cell>
          <cell r="BZ29">
            <v>0</v>
          </cell>
          <cell r="CA29">
            <v>64472477</v>
          </cell>
          <cell r="CB29">
            <v>64472477</v>
          </cell>
          <cell r="CC29" t="str">
            <v>32-OUT RESIDENTIAL</v>
          </cell>
          <cell r="CE29">
            <v>15965475</v>
          </cell>
          <cell r="CF29">
            <v>15965475</v>
          </cell>
          <cell r="CG29" t="str">
            <v>53  RESIDENTIAL</v>
          </cell>
          <cell r="CI29">
            <v>16705474</v>
          </cell>
          <cell r="CJ29">
            <v>16705474</v>
          </cell>
          <cell r="CK29" t="str">
            <v>5-IN RESIDENTIAL</v>
          </cell>
          <cell r="CL29">
            <v>0</v>
          </cell>
          <cell r="CM29">
            <v>373081</v>
          </cell>
          <cell r="CN29">
            <v>373081</v>
          </cell>
          <cell r="CO29" t="str">
            <v>31-RR RESIDENTIAL</v>
          </cell>
          <cell r="CQ29">
            <v>0</v>
          </cell>
          <cell r="CR29">
            <v>0</v>
          </cell>
          <cell r="CS29" t="str">
            <v>6-OUT RESIDENTIAL</v>
          </cell>
          <cell r="CU29">
            <v>61127549</v>
          </cell>
          <cell r="CV29">
            <v>61127549</v>
          </cell>
          <cell r="CW29" t="str">
            <v>21-OUT RESIDENTIAL</v>
          </cell>
          <cell r="CX29">
            <v>0</v>
          </cell>
          <cell r="CY29">
            <v>55271488</v>
          </cell>
          <cell r="CZ29">
            <v>55271488</v>
          </cell>
          <cell r="DA29" t="str">
            <v>18-IN RESIDENTIAL</v>
          </cell>
          <cell r="DB29">
            <v>0</v>
          </cell>
          <cell r="DC29">
            <v>30014884</v>
          </cell>
          <cell r="DD29">
            <v>30014884</v>
          </cell>
          <cell r="DE29" t="str">
            <v>FILE:CAVAL08</v>
          </cell>
          <cell r="DG29" t="str">
            <v>TAX YEAR  08</v>
          </cell>
          <cell r="DI29" t="str">
            <v>12-OUT RESIDENTIAL</v>
          </cell>
          <cell r="DK29">
            <v>7368105</v>
          </cell>
          <cell r="DL29">
            <v>7368105</v>
          </cell>
          <cell r="DM29" t="str">
            <v>9-IN RESIDENTIAL</v>
          </cell>
          <cell r="DO29">
            <v>15281832</v>
          </cell>
          <cell r="DP29">
            <v>15281832</v>
          </cell>
          <cell r="DQ29" t="str">
            <v>13-IN RESIDENTIAL</v>
          </cell>
          <cell r="DR29">
            <v>0</v>
          </cell>
          <cell r="DS29">
            <v>4621229</v>
          </cell>
          <cell r="DT29">
            <v>4621229</v>
          </cell>
          <cell r="DU29" t="str">
            <v>22-OUT RESIDENTIAL</v>
          </cell>
          <cell r="DV29">
            <v>0</v>
          </cell>
          <cell r="DW29">
            <v>3236802</v>
          </cell>
          <cell r="DX29">
            <v>3236802</v>
          </cell>
          <cell r="DY29" t="str">
            <v>2-IN  RESIDENTIAL</v>
          </cell>
          <cell r="EA29">
            <v>54911457</v>
          </cell>
          <cell r="EB29">
            <v>54911457</v>
          </cell>
          <cell r="ED29" t="str">
            <v>OTERO</v>
          </cell>
          <cell r="EE29">
            <v>62818073</v>
          </cell>
          <cell r="EF29">
            <v>765464333</v>
          </cell>
        </row>
        <row r="30">
          <cell r="A30" t="str">
            <v>TOTAL</v>
          </cell>
          <cell r="B30">
            <v>115848</v>
          </cell>
          <cell r="C30">
            <v>0</v>
          </cell>
          <cell r="D30">
            <v>115848</v>
          </cell>
          <cell r="G30" t="str">
            <v>FINAL</v>
          </cell>
          <cell r="I30" t="str">
            <v>TOTAL</v>
          </cell>
          <cell r="J30">
            <v>758658</v>
          </cell>
          <cell r="K30">
            <v>6098861</v>
          </cell>
          <cell r="L30">
            <v>6857519</v>
          </cell>
          <cell r="O30" t="str">
            <v>FINAL</v>
          </cell>
          <cell r="Q30" t="str">
            <v>TOTAL</v>
          </cell>
          <cell r="R30">
            <v>7780888</v>
          </cell>
          <cell r="S30">
            <v>32916334</v>
          </cell>
          <cell r="T30">
            <v>40697222</v>
          </cell>
          <cell r="U30" t="str">
            <v>TOTAL</v>
          </cell>
          <cell r="V30">
            <v>5643838</v>
          </cell>
          <cell r="W30">
            <v>6112427</v>
          </cell>
          <cell r="X30">
            <v>11756265</v>
          </cell>
          <cell r="AC30" t="str">
            <v>TOTAL</v>
          </cell>
          <cell r="AD30">
            <v>15549476</v>
          </cell>
          <cell r="AE30">
            <v>125825501</v>
          </cell>
          <cell r="AF30">
            <v>141374977</v>
          </cell>
          <cell r="AG30" t="str">
            <v>TOTAL</v>
          </cell>
          <cell r="AH30">
            <v>93014459</v>
          </cell>
          <cell r="AI30">
            <v>89247330</v>
          </cell>
          <cell r="AJ30">
            <v>182261789</v>
          </cell>
          <cell r="AK30" t="str">
            <v>TOTAL</v>
          </cell>
          <cell r="AL30">
            <v>4827711</v>
          </cell>
          <cell r="AM30">
            <v>43928512</v>
          </cell>
          <cell r="AN30">
            <v>48756223</v>
          </cell>
          <cell r="AQ30" t="str">
            <v>FINAL</v>
          </cell>
          <cell r="AS30" t="str">
            <v>-</v>
          </cell>
          <cell r="AT30" t="str">
            <v>-</v>
          </cell>
          <cell r="AU30" t="str">
            <v>-</v>
          </cell>
          <cell r="AV30" t="str">
            <v>-</v>
          </cell>
          <cell r="AW30" t="str">
            <v>-</v>
          </cell>
          <cell r="AX30" t="str">
            <v>-</v>
          </cell>
          <cell r="AY30" t="str">
            <v>-</v>
          </cell>
          <cell r="AZ30" t="str">
            <v>-</v>
          </cell>
          <cell r="BA30" t="str">
            <v>TOTAL</v>
          </cell>
          <cell r="BB30">
            <v>65478149</v>
          </cell>
          <cell r="BC30">
            <v>91255993</v>
          </cell>
          <cell r="BD30">
            <v>156734142</v>
          </cell>
          <cell r="BE30" t="str">
            <v>TOTAL</v>
          </cell>
          <cell r="BF30">
            <v>687400</v>
          </cell>
          <cell r="BG30">
            <v>1334227</v>
          </cell>
          <cell r="BH30">
            <v>2021627</v>
          </cell>
          <cell r="BU30" t="str">
            <v>-</v>
          </cell>
          <cell r="BV30" t="str">
            <v>-</v>
          </cell>
          <cell r="BW30" t="str">
            <v>-</v>
          </cell>
          <cell r="BX30" t="str">
            <v>-</v>
          </cell>
          <cell r="BY30" t="str">
            <v>TOTAL</v>
          </cell>
          <cell r="BZ30">
            <v>8258897</v>
          </cell>
          <cell r="CA30">
            <v>90509858</v>
          </cell>
          <cell r="CB30">
            <v>98768755</v>
          </cell>
          <cell r="CC30" t="str">
            <v>TOTAL</v>
          </cell>
          <cell r="CD30">
            <v>5218935</v>
          </cell>
          <cell r="CE30">
            <v>17302716</v>
          </cell>
          <cell r="CF30">
            <v>22521651</v>
          </cell>
          <cell r="CG30" t="str">
            <v>TOTAL</v>
          </cell>
          <cell r="CH30">
            <v>32201607</v>
          </cell>
          <cell r="CI30">
            <v>28587120</v>
          </cell>
          <cell r="CJ30">
            <v>60788727</v>
          </cell>
          <cell r="CK30" t="str">
            <v>TOTAL</v>
          </cell>
          <cell r="CL30">
            <v>60858</v>
          </cell>
          <cell r="CM30">
            <v>489380</v>
          </cell>
          <cell r="CN30">
            <v>550238</v>
          </cell>
          <cell r="CO30" t="str">
            <v>TOTAL</v>
          </cell>
          <cell r="CP30">
            <v>0</v>
          </cell>
          <cell r="CQ30">
            <v>0</v>
          </cell>
          <cell r="CR30">
            <v>0</v>
          </cell>
          <cell r="CS30" t="str">
            <v>TOTAL</v>
          </cell>
          <cell r="CT30">
            <v>225005228</v>
          </cell>
          <cell r="CU30">
            <v>99249751</v>
          </cell>
          <cell r="CV30">
            <v>324254979</v>
          </cell>
          <cell r="CW30" t="str">
            <v>TOTAL</v>
          </cell>
          <cell r="CX30">
            <v>3846129</v>
          </cell>
          <cell r="CY30">
            <v>2236422</v>
          </cell>
          <cell r="CZ30">
            <v>6082551</v>
          </cell>
          <cell r="DA30" t="str">
            <v>TOTAL</v>
          </cell>
          <cell r="DB30">
            <v>965065</v>
          </cell>
          <cell r="DC30">
            <v>42792579</v>
          </cell>
          <cell r="DD30">
            <v>43757644</v>
          </cell>
          <cell r="DG30" t="str">
            <v>FINAL</v>
          </cell>
          <cell r="DI30" t="str">
            <v>TOTAL</v>
          </cell>
          <cell r="DJ30">
            <v>2971318</v>
          </cell>
          <cell r="DK30">
            <v>14034457</v>
          </cell>
          <cell r="DL30">
            <v>17005775</v>
          </cell>
          <cell r="DM30" t="str">
            <v>TOTAL</v>
          </cell>
          <cell r="DN30">
            <v>1268969</v>
          </cell>
          <cell r="DO30">
            <v>20804360</v>
          </cell>
          <cell r="DP30">
            <v>22073329</v>
          </cell>
          <cell r="DQ30" t="str">
            <v>TOTAL</v>
          </cell>
          <cell r="DR30">
            <v>1051221</v>
          </cell>
          <cell r="DS30">
            <v>6706994</v>
          </cell>
          <cell r="DT30">
            <v>7758215</v>
          </cell>
          <cell r="DU30" t="str">
            <v>TOTAL</v>
          </cell>
          <cell r="DV30">
            <v>9738108</v>
          </cell>
          <cell r="DW30">
            <v>8571190</v>
          </cell>
          <cell r="DX30">
            <v>18309298</v>
          </cell>
          <cell r="DY30" t="str">
            <v>TOTAL</v>
          </cell>
          <cell r="DZ30">
            <v>9307364</v>
          </cell>
          <cell r="EA30">
            <v>87134956</v>
          </cell>
          <cell r="EB30">
            <v>96442320</v>
          </cell>
          <cell r="ED30" t="str">
            <v>QUAY</v>
          </cell>
          <cell r="EE30">
            <v>30077751</v>
          </cell>
          <cell r="EF30">
            <v>109325169</v>
          </cell>
        </row>
        <row r="31">
          <cell r="U31" t="str">
            <v xml:space="preserve"> </v>
          </cell>
          <cell r="AK31" t="str">
            <v>-</v>
          </cell>
          <cell r="AL31" t="str">
            <v>-</v>
          </cell>
          <cell r="AM31" t="str">
            <v>-</v>
          </cell>
          <cell r="AN31" t="str">
            <v>-</v>
          </cell>
          <cell r="AS31" t="str">
            <v>GRAND TOTAL</v>
          </cell>
          <cell r="AT31">
            <v>4828150</v>
          </cell>
          <cell r="AU31">
            <v>20680787</v>
          </cell>
          <cell r="AV31">
            <v>25508937</v>
          </cell>
          <cell r="AW31" t="str">
            <v>GRAND TOTAL</v>
          </cell>
          <cell r="AX31">
            <v>78832989</v>
          </cell>
          <cell r="AY31">
            <v>62510267</v>
          </cell>
          <cell r="AZ31">
            <v>141343256</v>
          </cell>
          <cell r="BU31" t="str">
            <v>GRAND TOTAL</v>
          </cell>
          <cell r="BV31">
            <v>11758410</v>
          </cell>
          <cell r="BW31">
            <v>73953216</v>
          </cell>
          <cell r="BX31">
            <v>85711626</v>
          </cell>
        </row>
        <row r="32">
          <cell r="A32" t="str">
            <v>24-OUT NON-RES</v>
          </cell>
          <cell r="B32">
            <v>990221</v>
          </cell>
          <cell r="C32">
            <v>12687125</v>
          </cell>
          <cell r="D32">
            <v>13677346</v>
          </cell>
          <cell r="I32" t="str">
            <v>8-OUT NON-RES</v>
          </cell>
          <cell r="J32">
            <v>6223689</v>
          </cell>
          <cell r="K32">
            <v>32746352</v>
          </cell>
          <cell r="L32">
            <v>38970041</v>
          </cell>
          <cell r="Q32" t="str">
            <v>24-IN NON-RES</v>
          </cell>
          <cell r="R32">
            <v>1112271</v>
          </cell>
          <cell r="S32">
            <v>1303185</v>
          </cell>
          <cell r="T32">
            <v>2415456</v>
          </cell>
          <cell r="U32" t="str">
            <v>61-IN  NON-RES</v>
          </cell>
          <cell r="V32">
            <v>9930</v>
          </cell>
          <cell r="W32">
            <v>88688</v>
          </cell>
          <cell r="X32">
            <v>98618</v>
          </cell>
          <cell r="AC32" t="str">
            <v>16-OUT NON-RES</v>
          </cell>
          <cell r="AD32">
            <v>85404745</v>
          </cell>
          <cell r="AE32">
            <v>148280563</v>
          </cell>
          <cell r="AF32">
            <v>233685308</v>
          </cell>
          <cell r="AG32" t="str">
            <v>16-D-IN NON-RES</v>
          </cell>
          <cell r="AH32">
            <v>1366650</v>
          </cell>
          <cell r="AI32">
            <v>96109</v>
          </cell>
          <cell r="AJ32">
            <v>1462759</v>
          </cell>
          <cell r="AK32" t="str">
            <v>TOTAL NON-RES</v>
          </cell>
          <cell r="AL32">
            <v>36859199</v>
          </cell>
          <cell r="AM32">
            <v>144656665</v>
          </cell>
          <cell r="AN32">
            <v>181515864</v>
          </cell>
          <cell r="AS32" t="str">
            <v>=</v>
          </cell>
          <cell r="AT32" t="str">
            <v>=</v>
          </cell>
          <cell r="AU32" t="str">
            <v>=</v>
          </cell>
          <cell r="AV32" t="str">
            <v>=</v>
          </cell>
          <cell r="AW32" t="str">
            <v>=</v>
          </cell>
          <cell r="AX32" t="str">
            <v>=</v>
          </cell>
          <cell r="AY32" t="str">
            <v>=</v>
          </cell>
          <cell r="AZ32" t="str">
            <v>=</v>
          </cell>
          <cell r="BA32" t="str">
            <v>19-IN NON-RES</v>
          </cell>
          <cell r="BB32">
            <v>727083</v>
          </cell>
          <cell r="BC32">
            <v>1520730</v>
          </cell>
          <cell r="BD32">
            <v>2247813</v>
          </cell>
          <cell r="BE32" t="str">
            <v>13-OUT NON-RES</v>
          </cell>
          <cell r="BF32">
            <v>19365015</v>
          </cell>
          <cell r="BG32">
            <v>3938006</v>
          </cell>
          <cell r="BH32">
            <v>23303021</v>
          </cell>
          <cell r="BU32" t="str">
            <v>=</v>
          </cell>
          <cell r="BV32" t="str">
            <v>=</v>
          </cell>
          <cell r="BW32" t="str">
            <v>=</v>
          </cell>
          <cell r="BX32" t="str">
            <v>=</v>
          </cell>
          <cell r="BY32" t="str">
            <v>16 NON-RES</v>
          </cell>
          <cell r="BZ32">
            <v>501171</v>
          </cell>
          <cell r="CA32">
            <v>8462050</v>
          </cell>
          <cell r="CB32">
            <v>8963221</v>
          </cell>
          <cell r="CC32" t="str">
            <v>33 NON-RES</v>
          </cell>
          <cell r="CD32">
            <v>2459526</v>
          </cell>
          <cell r="CE32">
            <v>1539717</v>
          </cell>
          <cell r="CF32">
            <v>3999243</v>
          </cell>
          <cell r="CG32" t="str">
            <v>6T  NON-RES</v>
          </cell>
          <cell r="CH32">
            <v>2827327</v>
          </cell>
          <cell r="CI32">
            <v>4706764</v>
          </cell>
          <cell r="CJ32">
            <v>7534091</v>
          </cell>
          <cell r="CK32" t="str">
            <v>5-OUT NON-RES</v>
          </cell>
          <cell r="CL32">
            <v>2171317</v>
          </cell>
          <cell r="CM32">
            <v>9154168</v>
          </cell>
          <cell r="CN32">
            <v>11325485</v>
          </cell>
          <cell r="CO32" t="str">
            <v>94-IN NON-RES</v>
          </cell>
          <cell r="CP32">
            <v>32777053</v>
          </cell>
          <cell r="CQ32">
            <v>560510698</v>
          </cell>
          <cell r="CR32">
            <v>593287751</v>
          </cell>
          <cell r="CS32" t="str">
            <v>22 NON-RES</v>
          </cell>
          <cell r="CT32">
            <v>578518206</v>
          </cell>
          <cell r="CU32">
            <v>20889537</v>
          </cell>
          <cell r="CV32">
            <v>599407743</v>
          </cell>
          <cell r="CW32" t="str">
            <v>50  NON-RES</v>
          </cell>
          <cell r="CX32">
            <v>76921</v>
          </cell>
          <cell r="CY32">
            <v>176965</v>
          </cell>
          <cell r="CZ32">
            <v>253886</v>
          </cell>
          <cell r="DA32" t="str">
            <v>18-OUT NON-RES</v>
          </cell>
          <cell r="DB32">
            <v>183134</v>
          </cell>
          <cell r="DC32">
            <v>20531864</v>
          </cell>
          <cell r="DD32">
            <v>20714998</v>
          </cell>
          <cell r="DI32" t="str">
            <v>13-L  NON-RES</v>
          </cell>
          <cell r="DJ32">
            <v>1293768</v>
          </cell>
          <cell r="DK32">
            <v>621629</v>
          </cell>
          <cell r="DL32">
            <v>1915397</v>
          </cell>
          <cell r="DM32" t="str">
            <v>9-RR-IN NON-RES</v>
          </cell>
          <cell r="DN32">
            <v>904180</v>
          </cell>
          <cell r="DO32">
            <v>16590413</v>
          </cell>
          <cell r="DP32">
            <v>17494593</v>
          </cell>
          <cell r="DQ32" t="str">
            <v>13-OUT NON-RES</v>
          </cell>
          <cell r="DR32">
            <v>13890181</v>
          </cell>
          <cell r="DS32">
            <v>15293370</v>
          </cell>
          <cell r="DT32">
            <v>29183551</v>
          </cell>
          <cell r="DU32" t="str">
            <v>49  NON-RES</v>
          </cell>
          <cell r="DV32">
            <v>107915</v>
          </cell>
          <cell r="DW32">
            <v>350829</v>
          </cell>
          <cell r="DX32">
            <v>458744</v>
          </cell>
          <cell r="DY32" t="str">
            <v>2-OUT NON-RES</v>
          </cell>
          <cell r="DZ32">
            <v>31645045</v>
          </cell>
          <cell r="EA32">
            <v>72137982</v>
          </cell>
          <cell r="EB32">
            <v>103783027</v>
          </cell>
          <cell r="ED32" t="str">
            <v>RIO ARRIBA</v>
          </cell>
          <cell r="EE32">
            <v>115308724</v>
          </cell>
          <cell r="EF32">
            <v>536935789</v>
          </cell>
        </row>
        <row r="33">
          <cell r="A33" t="str">
            <v>24-OUT RESIDENTIAL</v>
          </cell>
          <cell r="C33">
            <v>69673677</v>
          </cell>
          <cell r="D33">
            <v>69673677</v>
          </cell>
          <cell r="I33" t="str">
            <v>8-OUT RESIDENTIAL</v>
          </cell>
          <cell r="K33">
            <v>11558223</v>
          </cell>
          <cell r="L33">
            <v>11558223</v>
          </cell>
          <cell r="Q33" t="str">
            <v>24-IN RESIDENTIAL</v>
          </cell>
          <cell r="S33">
            <v>7454359</v>
          </cell>
          <cell r="T33">
            <v>7454359</v>
          </cell>
          <cell r="U33" t="str">
            <v>61-IN  RESIDENTIAL</v>
          </cell>
          <cell r="W33">
            <v>322352</v>
          </cell>
          <cell r="X33">
            <v>322352</v>
          </cell>
          <cell r="AC33" t="str">
            <v>16-OUT RESIDENTIAL</v>
          </cell>
          <cell r="AE33">
            <v>276394257</v>
          </cell>
          <cell r="AF33">
            <v>276394257</v>
          </cell>
          <cell r="AG33" t="str">
            <v>16-D-IN RESIDENTIAL</v>
          </cell>
          <cell r="AI33">
            <v>357624</v>
          </cell>
          <cell r="AJ33">
            <v>357624</v>
          </cell>
          <cell r="AK33" t="str">
            <v>TOTAL RESIDENTIAL</v>
          </cell>
          <cell r="AL33">
            <v>0</v>
          </cell>
          <cell r="AM33">
            <v>333901550</v>
          </cell>
          <cell r="AN33">
            <v>333901550</v>
          </cell>
          <cell r="AS33" t="str">
            <v>FILE:CAVAL08</v>
          </cell>
          <cell r="AU33" t="str">
            <v>TAX YEAR  08</v>
          </cell>
          <cell r="AW33" t="str">
            <v>FILE:CAVAL08</v>
          </cell>
          <cell r="AY33" t="str">
            <v>TAX YEAR  08</v>
          </cell>
          <cell r="BA33" t="str">
            <v>19-IN RESIDENTIAL</v>
          </cell>
          <cell r="BB33">
            <v>0</v>
          </cell>
          <cell r="BC33">
            <v>6714124</v>
          </cell>
          <cell r="BD33">
            <v>6714124</v>
          </cell>
          <cell r="BE33" t="str">
            <v>13-OUT RESIDENTIAL</v>
          </cell>
          <cell r="BG33">
            <v>2689022</v>
          </cell>
          <cell r="BH33">
            <v>2689022</v>
          </cell>
          <cell r="BU33" t="str">
            <v>FILE:CAVAL08</v>
          </cell>
          <cell r="BW33" t="str">
            <v>TAX YEAR  08</v>
          </cell>
          <cell r="BY33" t="str">
            <v>16 RESIDENTIAL</v>
          </cell>
          <cell r="BZ33">
            <v>0</v>
          </cell>
          <cell r="CA33">
            <v>19902480</v>
          </cell>
          <cell r="CB33">
            <v>19902480</v>
          </cell>
          <cell r="CC33" t="str">
            <v>33 RESIDENTIAL</v>
          </cell>
          <cell r="CE33">
            <v>768012</v>
          </cell>
          <cell r="CF33">
            <v>768012</v>
          </cell>
          <cell r="CG33" t="str">
            <v>6T  RESIDENTIAL</v>
          </cell>
          <cell r="CI33">
            <v>15836301</v>
          </cell>
          <cell r="CJ33">
            <v>15836301</v>
          </cell>
          <cell r="CK33" t="str">
            <v>5-OUT RESIDENTIAL</v>
          </cell>
          <cell r="CL33">
            <v>0</v>
          </cell>
          <cell r="CM33">
            <v>2610195</v>
          </cell>
          <cell r="CN33">
            <v>2610195</v>
          </cell>
          <cell r="CO33" t="str">
            <v>94-IN RESIDENTIAL</v>
          </cell>
          <cell r="CQ33">
            <v>1502047414</v>
          </cell>
          <cell r="CR33">
            <v>1502047414</v>
          </cell>
          <cell r="CS33" t="str">
            <v>22 RESIDENTIAL</v>
          </cell>
          <cell r="CU33">
            <v>60790476</v>
          </cell>
          <cell r="CV33">
            <v>60790476</v>
          </cell>
          <cell r="CW33" t="str">
            <v>50  RESIDENTIAL</v>
          </cell>
          <cell r="CX33">
            <v>0</v>
          </cell>
          <cell r="CY33">
            <v>669859</v>
          </cell>
          <cell r="CZ33">
            <v>669859</v>
          </cell>
          <cell r="DA33" t="str">
            <v>18-OUT RESIDENTIAL</v>
          </cell>
          <cell r="DB33">
            <v>0</v>
          </cell>
          <cell r="DC33">
            <v>42387601</v>
          </cell>
          <cell r="DD33">
            <v>42387601</v>
          </cell>
          <cell r="DI33" t="str">
            <v>13-L  RESIDENTIAL</v>
          </cell>
          <cell r="DK33">
            <v>299756</v>
          </cell>
          <cell r="DL33">
            <v>299756</v>
          </cell>
          <cell r="DM33" t="str">
            <v>9-RR-IN RESIDENTIAL</v>
          </cell>
          <cell r="DO33">
            <v>26650459</v>
          </cell>
          <cell r="DP33">
            <v>26650459</v>
          </cell>
          <cell r="DQ33" t="str">
            <v>13-OUT RESIDENTIAL</v>
          </cell>
          <cell r="DR33">
            <v>0</v>
          </cell>
          <cell r="DS33">
            <v>6346726</v>
          </cell>
          <cell r="DT33">
            <v>6346726</v>
          </cell>
          <cell r="DU33" t="str">
            <v>49  RESIDENTIAL</v>
          </cell>
          <cell r="DV33">
            <v>0</v>
          </cell>
          <cell r="DW33">
            <v>261780</v>
          </cell>
          <cell r="DX33">
            <v>261780</v>
          </cell>
          <cell r="DY33" t="str">
            <v>2-OUT RESIDENTIAL</v>
          </cell>
          <cell r="EA33">
            <v>204453751</v>
          </cell>
          <cell r="EB33">
            <v>204453751</v>
          </cell>
          <cell r="ED33" t="str">
            <v>ROOSEVELT</v>
          </cell>
          <cell r="EE33">
            <v>43635121</v>
          </cell>
          <cell r="EF33">
            <v>209310531</v>
          </cell>
        </row>
        <row r="34">
          <cell r="A34" t="str">
            <v>TOTAL</v>
          </cell>
          <cell r="B34">
            <v>990221</v>
          </cell>
          <cell r="C34">
            <v>82360802</v>
          </cell>
          <cell r="D34">
            <v>83351023</v>
          </cell>
          <cell r="I34" t="str">
            <v>TOTAL</v>
          </cell>
          <cell r="J34">
            <v>6223689</v>
          </cell>
          <cell r="K34">
            <v>44304575</v>
          </cell>
          <cell r="L34">
            <v>50528264</v>
          </cell>
          <cell r="Q34" t="str">
            <v>TOTAL</v>
          </cell>
          <cell r="R34">
            <v>1112271</v>
          </cell>
          <cell r="S34">
            <v>8757544</v>
          </cell>
          <cell r="T34">
            <v>9869815</v>
          </cell>
          <cell r="U34" t="str">
            <v>TOTAL</v>
          </cell>
          <cell r="V34">
            <v>9930</v>
          </cell>
          <cell r="W34">
            <v>411040</v>
          </cell>
          <cell r="X34">
            <v>420970</v>
          </cell>
          <cell r="AC34" t="str">
            <v>TOTAL</v>
          </cell>
          <cell r="AD34">
            <v>85404745</v>
          </cell>
          <cell r="AE34">
            <v>424674820</v>
          </cell>
          <cell r="AF34">
            <v>510079565</v>
          </cell>
          <cell r="AG34" t="str">
            <v>TOTAL</v>
          </cell>
          <cell r="AH34">
            <v>1366650</v>
          </cell>
          <cell r="AI34">
            <v>453733</v>
          </cell>
          <cell r="AJ34">
            <v>1820383</v>
          </cell>
          <cell r="AK34" t="str">
            <v>-</v>
          </cell>
          <cell r="AL34" t="str">
            <v>-</v>
          </cell>
          <cell r="AM34" t="str">
            <v>-</v>
          </cell>
          <cell r="AN34" t="str">
            <v>-</v>
          </cell>
          <cell r="AU34" t="str">
            <v>FINAL</v>
          </cell>
          <cell r="AY34" t="str">
            <v>FINAL</v>
          </cell>
          <cell r="BA34" t="str">
            <v>TOTAL</v>
          </cell>
          <cell r="BB34">
            <v>727083</v>
          </cell>
          <cell r="BC34">
            <v>8234854</v>
          </cell>
          <cell r="BD34">
            <v>8961937</v>
          </cell>
          <cell r="BE34" t="str">
            <v>TOTAL</v>
          </cell>
          <cell r="BF34">
            <v>19365015</v>
          </cell>
          <cell r="BG34">
            <v>6627028</v>
          </cell>
          <cell r="BH34">
            <v>25992043</v>
          </cell>
          <cell r="BW34" t="str">
            <v>FINAL</v>
          </cell>
          <cell r="BY34" t="str">
            <v>TOTAL</v>
          </cell>
          <cell r="BZ34">
            <v>501171</v>
          </cell>
          <cell r="CA34">
            <v>28364530</v>
          </cell>
          <cell r="CB34">
            <v>28865701</v>
          </cell>
          <cell r="CC34" t="str">
            <v>TOTAL</v>
          </cell>
          <cell r="CD34">
            <v>2459526</v>
          </cell>
          <cell r="CE34">
            <v>2307729</v>
          </cell>
          <cell r="CF34">
            <v>4767255</v>
          </cell>
          <cell r="CG34" t="str">
            <v>TOTAL</v>
          </cell>
          <cell r="CH34">
            <v>2827327</v>
          </cell>
          <cell r="CI34" t="str">
            <v xml:space="preserve"> </v>
          </cell>
          <cell r="CJ34">
            <v>2827327</v>
          </cell>
          <cell r="CK34" t="str">
            <v>TOTAL</v>
          </cell>
          <cell r="CL34">
            <v>2171317</v>
          </cell>
          <cell r="CM34">
            <v>11764363</v>
          </cell>
          <cell r="CN34">
            <v>13935680</v>
          </cell>
          <cell r="CO34" t="str">
            <v>TOTAL</v>
          </cell>
          <cell r="CP34">
            <v>32777053</v>
          </cell>
          <cell r="CQ34">
            <v>2062558112</v>
          </cell>
          <cell r="CR34">
            <v>2095335165</v>
          </cell>
          <cell r="CS34" t="str">
            <v>TOTAL</v>
          </cell>
          <cell r="CT34">
            <v>578518206</v>
          </cell>
          <cell r="CU34">
            <v>81680013</v>
          </cell>
          <cell r="CV34">
            <v>660198219</v>
          </cell>
          <cell r="CW34" t="str">
            <v>TOTAL</v>
          </cell>
          <cell r="CX34">
            <v>76921</v>
          </cell>
          <cell r="CY34">
            <v>846824</v>
          </cell>
          <cell r="CZ34">
            <v>923745</v>
          </cell>
          <cell r="DA34" t="str">
            <v>TOTAL</v>
          </cell>
          <cell r="DB34">
            <v>183134</v>
          </cell>
          <cell r="DC34">
            <v>62919465</v>
          </cell>
          <cell r="DD34">
            <v>63102599</v>
          </cell>
          <cell r="DI34" t="str">
            <v>TOTAL</v>
          </cell>
          <cell r="DJ34">
            <v>1293768</v>
          </cell>
          <cell r="DK34">
            <v>921385</v>
          </cell>
          <cell r="DL34">
            <v>2215153</v>
          </cell>
          <cell r="DM34" t="str">
            <v>TOTAL</v>
          </cell>
          <cell r="DN34">
            <v>904180</v>
          </cell>
          <cell r="DO34">
            <v>43240872</v>
          </cell>
          <cell r="DP34">
            <v>44145052</v>
          </cell>
          <cell r="DQ34" t="str">
            <v>TOTAL</v>
          </cell>
          <cell r="DR34">
            <v>13890181</v>
          </cell>
          <cell r="DS34">
            <v>21640096</v>
          </cell>
          <cell r="DT34">
            <v>35530277</v>
          </cell>
          <cell r="DU34" t="str">
            <v>TOTAL</v>
          </cell>
          <cell r="DV34">
            <v>107915</v>
          </cell>
          <cell r="DW34">
            <v>612609</v>
          </cell>
          <cell r="DX34">
            <v>720524</v>
          </cell>
          <cell r="DY34" t="str">
            <v>TOTAL</v>
          </cell>
          <cell r="DZ34">
            <v>31645045</v>
          </cell>
          <cell r="EA34">
            <v>276591733</v>
          </cell>
          <cell r="EB34">
            <v>308236778</v>
          </cell>
          <cell r="ED34" t="str">
            <v>SANDOVAL</v>
          </cell>
          <cell r="EE34">
            <v>115336830</v>
          </cell>
          <cell r="EF34">
            <v>3392762559</v>
          </cell>
        </row>
        <row r="35">
          <cell r="ED35" t="str">
            <v>SAN JUAN</v>
          </cell>
          <cell r="EE35">
            <v>963208924</v>
          </cell>
          <cell r="EF35">
            <v>1553930638</v>
          </cell>
        </row>
        <row r="36">
          <cell r="A36" t="str">
            <v>R1-A NON-RES</v>
          </cell>
          <cell r="B36">
            <v>164397</v>
          </cell>
          <cell r="C36">
            <v>8407944</v>
          </cell>
          <cell r="D36">
            <v>8572341</v>
          </cell>
          <cell r="AG36" t="str">
            <v>-</v>
          </cell>
          <cell r="AH36" t="str">
            <v>-</v>
          </cell>
          <cell r="AI36" t="str">
            <v>-</v>
          </cell>
          <cell r="AJ36" t="str">
            <v>-</v>
          </cell>
          <cell r="AK36" t="str">
            <v>GRAND TOTAL</v>
          </cell>
          <cell r="AL36">
            <v>36859199</v>
          </cell>
          <cell r="AM36">
            <v>478558215</v>
          </cell>
          <cell r="AN36">
            <v>515417414</v>
          </cell>
          <cell r="BE36" t="str">
            <v>20 NON-RES</v>
          </cell>
          <cell r="BF36">
            <v>6098572</v>
          </cell>
          <cell r="BG36">
            <v>6976753</v>
          </cell>
          <cell r="BH36">
            <v>13075325</v>
          </cell>
          <cell r="BY36" t="str">
            <v>TOTAL NON-RES</v>
          </cell>
          <cell r="BZ36">
            <v>62818073</v>
          </cell>
          <cell r="CA36">
            <v>197708051</v>
          </cell>
          <cell r="CB36">
            <v>260526124</v>
          </cell>
          <cell r="CO36" t="str">
            <v>2-AC-IN NON-RES</v>
          </cell>
          <cell r="CP36">
            <v>0</v>
          </cell>
          <cell r="CQ36">
            <v>4452444</v>
          </cell>
          <cell r="CR36">
            <v>4452444</v>
          </cell>
          <cell r="CS36" t="str">
            <v>6120 NON-RES</v>
          </cell>
          <cell r="CT36">
            <v>0</v>
          </cell>
          <cell r="CU36">
            <v>910749</v>
          </cell>
          <cell r="CV36">
            <v>910749</v>
          </cell>
          <cell r="DA36" t="str">
            <v>1-D NON-RES</v>
          </cell>
          <cell r="DB36">
            <v>128001</v>
          </cell>
          <cell r="DC36">
            <v>0</v>
          </cell>
          <cell r="DD36">
            <v>128001</v>
          </cell>
          <cell r="DQ36" t="str">
            <v>16-IN NON-RES</v>
          </cell>
          <cell r="DR36">
            <v>312440</v>
          </cell>
          <cell r="DS36">
            <v>98581</v>
          </cell>
          <cell r="DT36">
            <v>411021</v>
          </cell>
          <cell r="DU36" t="str">
            <v>-</v>
          </cell>
          <cell r="DY36" t="str">
            <v>PR-01 NON-RES</v>
          </cell>
          <cell r="DZ36">
            <v>0</v>
          </cell>
          <cell r="EA36">
            <v>5492389</v>
          </cell>
          <cell r="EB36">
            <v>5492389</v>
          </cell>
        </row>
        <row r="37">
          <cell r="A37" t="str">
            <v>R1-A RESIDENTIAL</v>
          </cell>
          <cell r="C37">
            <v>0</v>
          </cell>
          <cell r="D37">
            <v>0</v>
          </cell>
          <cell r="AG37" t="str">
            <v>TOTAL NON-RES</v>
          </cell>
          <cell r="AH37">
            <v>471041227</v>
          </cell>
          <cell r="AI37">
            <v>233514236</v>
          </cell>
          <cell r="AJ37">
            <v>704555463</v>
          </cell>
          <cell r="BE37" t="str">
            <v>20 RESIDENTIAL</v>
          </cell>
          <cell r="BG37">
            <v>11786438</v>
          </cell>
          <cell r="BH37">
            <v>11786438</v>
          </cell>
          <cell r="BY37" t="str">
            <v>TOTAL RESIDENTIAL</v>
          </cell>
          <cell r="BZ37">
            <v>0</v>
          </cell>
          <cell r="CA37">
            <v>567756282</v>
          </cell>
          <cell r="CB37">
            <v>567756282</v>
          </cell>
          <cell r="CO37" t="str">
            <v>2-AC-IN RES</v>
          </cell>
          <cell r="CQ37">
            <v>37917244</v>
          </cell>
          <cell r="CR37">
            <v>37917244</v>
          </cell>
          <cell r="CS37" t="str">
            <v>6120 RESIDENTIAL</v>
          </cell>
          <cell r="CU37">
            <v>135049</v>
          </cell>
          <cell r="CV37">
            <v>135049</v>
          </cell>
          <cell r="DA37" t="str">
            <v>1-D RESIDENTIAL</v>
          </cell>
          <cell r="DB37">
            <v>0</v>
          </cell>
          <cell r="DC37">
            <v>0</v>
          </cell>
          <cell r="DD37">
            <v>0</v>
          </cell>
          <cell r="DQ37" t="str">
            <v>16-IN RESIDENTIAL</v>
          </cell>
          <cell r="DR37">
            <v>0</v>
          </cell>
          <cell r="DS37">
            <v>318034</v>
          </cell>
          <cell r="DT37">
            <v>318034</v>
          </cell>
          <cell r="DU37" t="str">
            <v>TOTAL NON-RES</v>
          </cell>
          <cell r="DV37">
            <v>29200306</v>
          </cell>
          <cell r="DW37">
            <v>50996500</v>
          </cell>
          <cell r="DX37">
            <v>80196806</v>
          </cell>
          <cell r="DY37" t="str">
            <v>PR-01 RESIDENTIAL</v>
          </cell>
          <cell r="EA37">
            <v>40674443</v>
          </cell>
          <cell r="EB37">
            <v>40674443</v>
          </cell>
          <cell r="ED37" t="str">
            <v>SAN MIGUEL</v>
          </cell>
          <cell r="EE37">
            <v>25907747</v>
          </cell>
          <cell r="EF37">
            <v>417106727</v>
          </cell>
        </row>
        <row r="38">
          <cell r="A38" t="str">
            <v>TOTAL</v>
          </cell>
          <cell r="B38">
            <v>164397</v>
          </cell>
          <cell r="C38">
            <v>8407944</v>
          </cell>
          <cell r="D38">
            <v>8572341</v>
          </cell>
          <cell r="AG38" t="str">
            <v>TOTAL RESIDENTIAL</v>
          </cell>
          <cell r="AI38">
            <v>377437300</v>
          </cell>
          <cell r="AJ38">
            <v>377437300</v>
          </cell>
          <cell r="BE38" t="str">
            <v>TOTAL</v>
          </cell>
          <cell r="BF38">
            <v>6098572</v>
          </cell>
          <cell r="BG38">
            <v>18763191</v>
          </cell>
          <cell r="BH38">
            <v>24861763</v>
          </cell>
          <cell r="BY38" t="str">
            <v>-</v>
          </cell>
          <cell r="BZ38" t="str">
            <v>-</v>
          </cell>
          <cell r="CA38" t="str">
            <v>-</v>
          </cell>
          <cell r="CB38" t="str">
            <v>-</v>
          </cell>
          <cell r="CO38" t="str">
            <v>TOTAL</v>
          </cell>
          <cell r="CP38">
            <v>0</v>
          </cell>
          <cell r="CQ38">
            <v>42369688</v>
          </cell>
          <cell r="CR38">
            <v>42369688</v>
          </cell>
          <cell r="CS38" t="str">
            <v>TOTAL</v>
          </cell>
          <cell r="CT38">
            <v>0</v>
          </cell>
          <cell r="CU38">
            <v>1045798</v>
          </cell>
          <cell r="CV38">
            <v>1045798</v>
          </cell>
          <cell r="DA38" t="str">
            <v>TOTAL</v>
          </cell>
          <cell r="DB38">
            <v>128001</v>
          </cell>
          <cell r="DC38">
            <v>0</v>
          </cell>
          <cell r="DD38">
            <v>128001</v>
          </cell>
          <cell r="DQ38" t="str">
            <v>TOTAL</v>
          </cell>
          <cell r="DR38">
            <v>312440</v>
          </cell>
          <cell r="DS38">
            <v>416615</v>
          </cell>
          <cell r="DT38">
            <v>729055</v>
          </cell>
          <cell r="DU38" t="str">
            <v>TOTAL RESIDENTIAL</v>
          </cell>
          <cell r="DV38">
            <v>0</v>
          </cell>
          <cell r="DW38">
            <v>28604082</v>
          </cell>
          <cell r="DX38">
            <v>28604082</v>
          </cell>
          <cell r="DY38" t="str">
            <v>TOTAL</v>
          </cell>
          <cell r="DZ38">
            <v>0</v>
          </cell>
          <cell r="EA38">
            <v>46166832</v>
          </cell>
          <cell r="EB38">
            <v>46166832</v>
          </cell>
        </row>
        <row r="39">
          <cell r="AG39" t="str">
            <v>-</v>
          </cell>
          <cell r="AH39" t="str">
            <v>-</v>
          </cell>
          <cell r="AI39" t="str">
            <v>-</v>
          </cell>
          <cell r="AJ39" t="str">
            <v>-</v>
          </cell>
          <cell r="BY39" t="str">
            <v>GRAND TOTAL</v>
          </cell>
          <cell r="BZ39">
            <v>62818073</v>
          </cell>
          <cell r="CA39">
            <v>765464333</v>
          </cell>
          <cell r="CB39">
            <v>828282406</v>
          </cell>
          <cell r="DU39" t="str">
            <v>-</v>
          </cell>
          <cell r="DV39" t="str">
            <v>-</v>
          </cell>
          <cell r="DW39" t="str">
            <v>-</v>
          </cell>
          <cell r="DX39" t="str">
            <v>-</v>
          </cell>
          <cell r="DY39" t="str">
            <v>-</v>
          </cell>
          <cell r="DZ39" t="str">
            <v>-</v>
          </cell>
          <cell r="EA39" t="str">
            <v>-</v>
          </cell>
          <cell r="EB39" t="str">
            <v>-</v>
          </cell>
        </row>
        <row r="40">
          <cell r="A40" t="str">
            <v>TOTAL NON-RES</v>
          </cell>
          <cell r="B40">
            <v>479076818</v>
          </cell>
          <cell r="C40">
            <v>3446464351</v>
          </cell>
          <cell r="D40">
            <v>3925541169</v>
          </cell>
          <cell r="I40" t="str">
            <v>20-IN NON-RES</v>
          </cell>
          <cell r="J40">
            <v>263479</v>
          </cell>
          <cell r="K40">
            <v>131297</v>
          </cell>
          <cell r="L40">
            <v>394776</v>
          </cell>
          <cell r="Q40" t="str">
            <v>24-OUT NON-RES</v>
          </cell>
          <cell r="R40">
            <v>6612948</v>
          </cell>
          <cell r="S40">
            <v>5417904</v>
          </cell>
          <cell r="T40">
            <v>12030852</v>
          </cell>
          <cell r="U40" t="str">
            <v>61-OUT  NON-RES</v>
          </cell>
          <cell r="V40">
            <v>1964957</v>
          </cell>
          <cell r="W40">
            <v>2790312</v>
          </cell>
          <cell r="X40">
            <v>4755269</v>
          </cell>
          <cell r="AC40" t="str">
            <v>TOTAL NON-RES</v>
          </cell>
          <cell r="AD40">
            <v>195264526</v>
          </cell>
          <cell r="AE40">
            <v>966907836</v>
          </cell>
          <cell r="AF40">
            <v>1162172362</v>
          </cell>
          <cell r="AG40" t="str">
            <v>GRAND TOTAL</v>
          </cell>
          <cell r="AH40">
            <v>471041227</v>
          </cell>
          <cell r="AI40">
            <v>610951536</v>
          </cell>
          <cell r="AJ40">
            <v>1081992763</v>
          </cell>
          <cell r="AK40" t="str">
            <v>=</v>
          </cell>
          <cell r="AL40" t="str">
            <v>=</v>
          </cell>
          <cell r="AM40" t="str">
            <v>=</v>
          </cell>
          <cell r="AN40" t="str">
            <v>=</v>
          </cell>
          <cell r="BA40" t="str">
            <v>19-OUT NON-RES</v>
          </cell>
          <cell r="BB40">
            <v>24052235</v>
          </cell>
          <cell r="BC40">
            <v>1508157</v>
          </cell>
          <cell r="BD40">
            <v>25560392</v>
          </cell>
          <cell r="BE40" t="str">
            <v>28-IN NON-RES</v>
          </cell>
          <cell r="BF40">
            <v>762660</v>
          </cell>
          <cell r="BG40">
            <v>2880353</v>
          </cell>
          <cell r="BH40">
            <v>3643013</v>
          </cell>
          <cell r="BY40" t="str">
            <v>=</v>
          </cell>
          <cell r="BZ40" t="str">
            <v>=</v>
          </cell>
          <cell r="CA40" t="str">
            <v>=</v>
          </cell>
          <cell r="CB40" t="str">
            <v>=</v>
          </cell>
          <cell r="CC40" t="str">
            <v>34-IN NON-RES</v>
          </cell>
          <cell r="CD40">
            <v>295116</v>
          </cell>
          <cell r="CE40">
            <v>346074</v>
          </cell>
          <cell r="CF40">
            <v>641190</v>
          </cell>
          <cell r="CG40" t="str">
            <v>32  NON-RES</v>
          </cell>
          <cell r="CH40">
            <v>546930</v>
          </cell>
          <cell r="CI40">
            <v>1099486</v>
          </cell>
          <cell r="CJ40">
            <v>1646416</v>
          </cell>
          <cell r="CK40" t="str">
            <v>39-IN NON-RES</v>
          </cell>
          <cell r="CL40">
            <v>44912</v>
          </cell>
          <cell r="CM40">
            <v>124186</v>
          </cell>
          <cell r="CN40">
            <v>169098</v>
          </cell>
          <cell r="CO40" t="str">
            <v>20-IN NON-RES</v>
          </cell>
          <cell r="CP40">
            <v>1366197</v>
          </cell>
          <cell r="CQ40">
            <v>3714317</v>
          </cell>
          <cell r="CR40">
            <v>5080514</v>
          </cell>
          <cell r="CS40" t="str">
            <v>TOTAL NON-RES</v>
          </cell>
          <cell r="CT40">
            <v>963208924</v>
          </cell>
          <cell r="CU40">
            <v>561426617</v>
          </cell>
          <cell r="CV40">
            <v>1524635541</v>
          </cell>
          <cell r="CW40" t="str">
            <v>TOTAL NON-RES</v>
          </cell>
          <cell r="CX40">
            <v>25907747</v>
          </cell>
          <cell r="CY40">
            <v>120596960</v>
          </cell>
          <cell r="CZ40">
            <v>146504707</v>
          </cell>
          <cell r="DA40" t="str">
            <v>18-D-OUT NON-RES</v>
          </cell>
          <cell r="DB40">
            <v>82222</v>
          </cell>
          <cell r="DC40">
            <v>0</v>
          </cell>
          <cell r="DD40">
            <v>82222</v>
          </cell>
          <cell r="DI40" t="str">
            <v>13-T  NON-RES</v>
          </cell>
          <cell r="DJ40">
            <v>1876407</v>
          </cell>
          <cell r="DK40">
            <v>470912</v>
          </cell>
          <cell r="DL40">
            <v>2347319</v>
          </cell>
          <cell r="DM40" t="str">
            <v>9-OUT NON-RES</v>
          </cell>
          <cell r="DN40">
            <v>42087728</v>
          </cell>
          <cell r="DO40">
            <v>20208710</v>
          </cell>
          <cell r="DP40">
            <v>62296438</v>
          </cell>
          <cell r="DQ40" t="str">
            <v>16-OUT NON-RES</v>
          </cell>
          <cell r="DR40">
            <v>14748485</v>
          </cell>
          <cell r="DS40">
            <v>2557642</v>
          </cell>
          <cell r="DT40">
            <v>17306127</v>
          </cell>
          <cell r="DU40" t="str">
            <v>GRAND TOTAL</v>
          </cell>
          <cell r="DV40">
            <v>29200306</v>
          </cell>
          <cell r="DW40">
            <v>79600582</v>
          </cell>
          <cell r="DX40">
            <v>108800888</v>
          </cell>
          <cell r="DY40" t="str">
            <v>TOTAL NON-RES</v>
          </cell>
          <cell r="DZ40">
            <v>69286909</v>
          </cell>
          <cell r="EA40">
            <v>235331505</v>
          </cell>
          <cell r="EB40">
            <v>304618414</v>
          </cell>
          <cell r="ED40" t="str">
            <v>SANTA FE</v>
          </cell>
          <cell r="EE40">
            <v>106516551</v>
          </cell>
          <cell r="EF40">
            <v>6444292097</v>
          </cell>
        </row>
        <row r="41">
          <cell r="A41" t="str">
            <v>TOTAL RESIDENTIAL</v>
          </cell>
          <cell r="B41">
            <v>0</v>
          </cell>
          <cell r="C41">
            <v>10050550836</v>
          </cell>
          <cell r="D41">
            <v>10050550836</v>
          </cell>
          <cell r="I41" t="str">
            <v>20-IN RESIDENTIAL</v>
          </cell>
          <cell r="K41">
            <v>855770</v>
          </cell>
          <cell r="L41">
            <v>855770</v>
          </cell>
          <cell r="Q41" t="str">
            <v>24-OUT RESIDENTIAL</v>
          </cell>
          <cell r="S41">
            <v>6820882</v>
          </cell>
          <cell r="T41">
            <v>6820882</v>
          </cell>
          <cell r="U41" t="str">
            <v>61-OUT RESIDENTIAL</v>
          </cell>
          <cell r="W41">
            <v>1670533</v>
          </cell>
          <cell r="X41">
            <v>1670533</v>
          </cell>
          <cell r="AC41" t="str">
            <v>TOTAL RESIDENTIAL</v>
          </cell>
          <cell r="AD41">
            <v>0</v>
          </cell>
          <cell r="AE41">
            <v>2295008028</v>
          </cell>
          <cell r="AF41">
            <v>2295008028</v>
          </cell>
          <cell r="AG41" t="str">
            <v>=</v>
          </cell>
          <cell r="AH41" t="str">
            <v>=</v>
          </cell>
          <cell r="AI41" t="str">
            <v>=</v>
          </cell>
          <cell r="AJ41" t="str">
            <v>=</v>
          </cell>
          <cell r="AK41" t="str">
            <v>FILE:CAVAL08</v>
          </cell>
          <cell r="AM41" t="str">
            <v>TAX YEAR  08</v>
          </cell>
          <cell r="BA41" t="str">
            <v>19-OUT RESIDENTIAL</v>
          </cell>
          <cell r="BB41">
            <v>0</v>
          </cell>
          <cell r="BC41">
            <v>709269</v>
          </cell>
          <cell r="BD41">
            <v>709269</v>
          </cell>
          <cell r="BE41" t="str">
            <v>28-IN RESIDENTIAL</v>
          </cell>
          <cell r="BG41">
            <v>13283566</v>
          </cell>
          <cell r="BH41">
            <v>13283566</v>
          </cell>
          <cell r="BY41" t="str">
            <v>FILE:CAVAL08</v>
          </cell>
          <cell r="CA41" t="str">
            <v>TAX YEAR  08</v>
          </cell>
          <cell r="CC41" t="str">
            <v>34-IN RESIDENTIAL</v>
          </cell>
          <cell r="CE41">
            <v>713390</v>
          </cell>
          <cell r="CF41">
            <v>713390</v>
          </cell>
          <cell r="CG41" t="str">
            <v>32  RESIDENTIAL</v>
          </cell>
          <cell r="CI41">
            <v>1773187</v>
          </cell>
          <cell r="CJ41">
            <v>1773187</v>
          </cell>
          <cell r="CK41" t="str">
            <v>39-IN RESIDENTIAL</v>
          </cell>
          <cell r="CL41">
            <v>0</v>
          </cell>
          <cell r="CM41">
            <v>485836</v>
          </cell>
          <cell r="CN41">
            <v>485836</v>
          </cell>
          <cell r="CO41" t="str">
            <v>20-IN RESIDENTIAL</v>
          </cell>
          <cell r="CQ41">
            <v>2582011</v>
          </cell>
          <cell r="CR41">
            <v>2582011</v>
          </cell>
          <cell r="CS41" t="str">
            <v>TOTAL RESIDENTIAL</v>
          </cell>
          <cell r="CT41">
            <v>0</v>
          </cell>
          <cell r="CU41">
            <v>992504021</v>
          </cell>
          <cell r="CV41">
            <v>992504021</v>
          </cell>
          <cell r="CW41" t="str">
            <v>TOTAL RESIDENTIAL</v>
          </cell>
          <cell r="CX41">
            <v>0</v>
          </cell>
          <cell r="CY41">
            <v>296509767</v>
          </cell>
          <cell r="CZ41">
            <v>296509767</v>
          </cell>
          <cell r="DA41" t="str">
            <v>18-D-OUT RESIDENTIAL</v>
          </cell>
          <cell r="DB41">
            <v>0</v>
          </cell>
          <cell r="DC41">
            <v>0</v>
          </cell>
          <cell r="DD41">
            <v>0</v>
          </cell>
          <cell r="DI41" t="str">
            <v>13-T  RESIDENTIAL</v>
          </cell>
          <cell r="DK41">
            <v>721286</v>
          </cell>
          <cell r="DL41">
            <v>721286</v>
          </cell>
          <cell r="DM41" t="str">
            <v>9-OUT RESIDENTIAL</v>
          </cell>
          <cell r="DO41">
            <v>42651577</v>
          </cell>
          <cell r="DP41">
            <v>42651577</v>
          </cell>
          <cell r="DQ41" t="str">
            <v>16-OUT RESIDENTIAL</v>
          </cell>
          <cell r="DR41">
            <v>0</v>
          </cell>
          <cell r="DS41">
            <v>888872</v>
          </cell>
          <cell r="DT41">
            <v>888872</v>
          </cell>
          <cell r="DU41" t="str">
            <v>=</v>
          </cell>
          <cell r="DV41" t="str">
            <v>=</v>
          </cell>
          <cell r="DW41" t="str">
            <v>=</v>
          </cell>
          <cell r="DX41" t="str">
            <v>=</v>
          </cell>
          <cell r="DY41" t="str">
            <v>TOTAL RESIDENTIAL</v>
          </cell>
          <cell r="DZ41">
            <v>0</v>
          </cell>
          <cell r="EA41">
            <v>754884061</v>
          </cell>
          <cell r="EB41">
            <v>754884061</v>
          </cell>
          <cell r="ED41" t="str">
            <v>SIERRA</v>
          </cell>
          <cell r="EE41">
            <v>26304388</v>
          </cell>
          <cell r="EF41">
            <v>221585706</v>
          </cell>
        </row>
        <row r="42">
          <cell r="A42" t="str">
            <v>-</v>
          </cell>
          <cell r="B42" t="str">
            <v>-</v>
          </cell>
          <cell r="C42" t="str">
            <v>-</v>
          </cell>
          <cell r="D42" t="str">
            <v>-</v>
          </cell>
          <cell r="I42" t="str">
            <v>TOTAL</v>
          </cell>
          <cell r="J42">
            <v>263479</v>
          </cell>
          <cell r="K42">
            <v>987067</v>
          </cell>
          <cell r="L42">
            <v>1250546</v>
          </cell>
          <cell r="Q42" t="str">
            <v>TOTAL</v>
          </cell>
          <cell r="R42">
            <v>6612948</v>
          </cell>
          <cell r="S42">
            <v>12238786</v>
          </cell>
          <cell r="T42">
            <v>18851734</v>
          </cell>
          <cell r="U42" t="str">
            <v>TOTAL</v>
          </cell>
          <cell r="V42">
            <v>1964957</v>
          </cell>
          <cell r="W42">
            <v>4460845</v>
          </cell>
          <cell r="X42">
            <v>6425802</v>
          </cell>
          <cell r="AC42" t="str">
            <v>-</v>
          </cell>
          <cell r="AD42" t="str">
            <v>-</v>
          </cell>
          <cell r="AE42" t="str">
            <v>-</v>
          </cell>
          <cell r="AF42" t="str">
            <v>-</v>
          </cell>
          <cell r="AG42" t="str">
            <v>FILE:CAVAL08</v>
          </cell>
          <cell r="AI42" t="str">
            <v>TAX YEAR  08</v>
          </cell>
          <cell r="AM42" t="str">
            <v>FINAL</v>
          </cell>
          <cell r="BA42" t="str">
            <v>TOTAL</v>
          </cell>
          <cell r="BB42">
            <v>24052235</v>
          </cell>
          <cell r="BC42">
            <v>2217426</v>
          </cell>
          <cell r="BD42">
            <v>26269661</v>
          </cell>
          <cell r="BE42" t="str">
            <v>TOTAL</v>
          </cell>
          <cell r="BF42">
            <v>762660</v>
          </cell>
          <cell r="BG42">
            <v>16163919</v>
          </cell>
          <cell r="BH42">
            <v>16926579</v>
          </cell>
          <cell r="CA42" t="str">
            <v>FINAL</v>
          </cell>
          <cell r="CC42" t="str">
            <v>TOTAL</v>
          </cell>
          <cell r="CD42">
            <v>295116</v>
          </cell>
          <cell r="CE42">
            <v>1059464</v>
          </cell>
          <cell r="CF42">
            <v>1354580</v>
          </cell>
          <cell r="CG42" t="str">
            <v>TOTAL</v>
          </cell>
          <cell r="CH42">
            <v>546930</v>
          </cell>
          <cell r="CI42">
            <v>2872673</v>
          </cell>
          <cell r="CJ42">
            <v>3419603</v>
          </cell>
          <cell r="CK42" t="str">
            <v>TOTAL</v>
          </cell>
          <cell r="CL42">
            <v>44912</v>
          </cell>
          <cell r="CM42">
            <v>610022</v>
          </cell>
          <cell r="CN42">
            <v>654934</v>
          </cell>
          <cell r="CO42" t="str">
            <v>TOTAL</v>
          </cell>
          <cell r="CP42">
            <v>1366197</v>
          </cell>
          <cell r="CQ42">
            <v>6296328</v>
          </cell>
          <cell r="CR42">
            <v>7662525</v>
          </cell>
          <cell r="CS42" t="str">
            <v>-</v>
          </cell>
          <cell r="CT42" t="str">
            <v>-</v>
          </cell>
          <cell r="CU42" t="str">
            <v>-</v>
          </cell>
          <cell r="CV42" t="str">
            <v>-</v>
          </cell>
          <cell r="CW42" t="str">
            <v>-</v>
          </cell>
          <cell r="CX42" t="str">
            <v>-</v>
          </cell>
          <cell r="CY42" t="str">
            <v>-</v>
          </cell>
          <cell r="CZ42" t="str">
            <v>-</v>
          </cell>
          <cell r="DA42" t="str">
            <v>TOTAL</v>
          </cell>
          <cell r="DB42">
            <v>82222</v>
          </cell>
          <cell r="DC42">
            <v>0</v>
          </cell>
          <cell r="DD42">
            <v>82222</v>
          </cell>
          <cell r="DI42" t="str">
            <v>TOTAL</v>
          </cell>
          <cell r="DJ42">
            <v>1876407</v>
          </cell>
          <cell r="DK42">
            <v>1192198</v>
          </cell>
          <cell r="DL42">
            <v>3068605</v>
          </cell>
          <cell r="DM42" t="str">
            <v>TOTAL</v>
          </cell>
          <cell r="DN42">
            <v>42087728</v>
          </cell>
          <cell r="DO42">
            <v>62860287</v>
          </cell>
          <cell r="DP42">
            <v>104948015</v>
          </cell>
          <cell r="DQ42" t="str">
            <v>TOTAL</v>
          </cell>
          <cell r="DR42">
            <v>14748485</v>
          </cell>
          <cell r="DS42">
            <v>3446514</v>
          </cell>
          <cell r="DT42">
            <v>18194999</v>
          </cell>
          <cell r="DU42" t="str">
            <v>FILE:CAVAL08</v>
          </cell>
          <cell r="DW42" t="str">
            <v>TAX YEAR  08</v>
          </cell>
          <cell r="DY42" t="str">
            <v>-</v>
          </cell>
          <cell r="DZ42" t="str">
            <v>-</v>
          </cell>
          <cell r="EA42" t="str">
            <v>-</v>
          </cell>
          <cell r="EB42" t="str">
            <v>-</v>
          </cell>
          <cell r="ED42" t="str">
            <v>SOCORRO</v>
          </cell>
          <cell r="EE42">
            <v>33514707</v>
          </cell>
          <cell r="EF42">
            <v>187806722</v>
          </cell>
        </row>
        <row r="43">
          <cell r="A43" t="str">
            <v>GRAND TOTAL</v>
          </cell>
          <cell r="B43">
            <v>479076818</v>
          </cell>
          <cell r="C43">
            <v>13497015187</v>
          </cell>
          <cell r="D43">
            <v>13976092005</v>
          </cell>
          <cell r="U43" t="str">
            <v>-</v>
          </cell>
          <cell r="V43" t="str">
            <v>-</v>
          </cell>
          <cell r="W43" t="str">
            <v>-</v>
          </cell>
          <cell r="X43" t="str">
            <v>-</v>
          </cell>
          <cell r="AC43" t="str">
            <v>GRAND TOTAL</v>
          </cell>
          <cell r="AD43">
            <v>195264526</v>
          </cell>
          <cell r="AE43">
            <v>3261915864</v>
          </cell>
          <cell r="AF43">
            <v>3457180390</v>
          </cell>
          <cell r="AI43" t="str">
            <v>FINAL</v>
          </cell>
          <cell r="CG43" t="str">
            <v>-</v>
          </cell>
          <cell r="CH43" t="str">
            <v>-</v>
          </cell>
          <cell r="CI43" t="str">
            <v>-</v>
          </cell>
          <cell r="CJ43" t="str">
            <v>-</v>
          </cell>
          <cell r="CS43" t="str">
            <v>GRAND TOTAL</v>
          </cell>
          <cell r="CT43">
            <v>963208924</v>
          </cell>
          <cell r="CU43">
            <v>1553930638</v>
          </cell>
          <cell r="CV43">
            <v>2517139562</v>
          </cell>
          <cell r="CW43" t="str">
            <v>GRAND TOTAL</v>
          </cell>
          <cell r="CX43">
            <v>25907747</v>
          </cell>
          <cell r="CY43">
            <v>417106727</v>
          </cell>
          <cell r="CZ43">
            <v>443014474</v>
          </cell>
          <cell r="DA43" t="str">
            <v>-</v>
          </cell>
          <cell r="DB43" t="str">
            <v>-</v>
          </cell>
          <cell r="DC43" t="str">
            <v>-</v>
          </cell>
          <cell r="DD43" t="str">
            <v>-</v>
          </cell>
          <cell r="DI43" t="str">
            <v>-</v>
          </cell>
          <cell r="DW43" t="str">
            <v>FINAL</v>
          </cell>
          <cell r="DY43" t="str">
            <v>GRAND TOTAL</v>
          </cell>
          <cell r="DZ43">
            <v>69286909</v>
          </cell>
          <cell r="EA43">
            <v>990215566</v>
          </cell>
          <cell r="EB43">
            <v>1059502475</v>
          </cell>
        </row>
        <row r="44">
          <cell r="A44" t="str">
            <v>=</v>
          </cell>
          <cell r="B44" t="str">
            <v>=</v>
          </cell>
          <cell r="C44" t="str">
            <v>=</v>
          </cell>
          <cell r="D44" t="str">
            <v>=</v>
          </cell>
          <cell r="I44" t="str">
            <v>20-OUT NON-RES</v>
          </cell>
          <cell r="J44">
            <v>4191497</v>
          </cell>
          <cell r="K44">
            <v>6188835</v>
          </cell>
          <cell r="L44">
            <v>10380332</v>
          </cell>
          <cell r="Q44" t="str">
            <v>26-IN NON-RES</v>
          </cell>
          <cell r="R44">
            <v>317737</v>
          </cell>
          <cell r="S44">
            <v>236608</v>
          </cell>
          <cell r="T44">
            <v>554345</v>
          </cell>
          <cell r="U44" t="str">
            <v>TOTAL NON-RES</v>
          </cell>
          <cell r="V44">
            <v>73894085</v>
          </cell>
          <cell r="W44">
            <v>187638202</v>
          </cell>
          <cell r="X44">
            <v>261532287</v>
          </cell>
          <cell r="AC44" t="str">
            <v>=</v>
          </cell>
          <cell r="AD44" t="str">
            <v>=</v>
          </cell>
          <cell r="AE44" t="str">
            <v>=</v>
          </cell>
          <cell r="AF44" t="str">
            <v>=</v>
          </cell>
          <cell r="BA44" t="str">
            <v>28-IN  NON-RES</v>
          </cell>
          <cell r="BB44">
            <v>720151</v>
          </cell>
          <cell r="BC44">
            <v>3616827</v>
          </cell>
          <cell r="BD44">
            <v>4336978</v>
          </cell>
          <cell r="CC44" t="str">
            <v>34-OUT NON-RES</v>
          </cell>
          <cell r="CD44">
            <v>4056764</v>
          </cell>
          <cell r="CE44">
            <v>3585213</v>
          </cell>
          <cell r="CF44">
            <v>7641977</v>
          </cell>
          <cell r="CG44" t="str">
            <v>TOTAL NON-RES</v>
          </cell>
          <cell r="CH44">
            <v>115308724</v>
          </cell>
          <cell r="CI44">
            <v>146865845</v>
          </cell>
          <cell r="CJ44">
            <v>262174569</v>
          </cell>
          <cell r="CK44" t="str">
            <v>39-OUT NON-RES</v>
          </cell>
          <cell r="CL44">
            <v>5434048</v>
          </cell>
          <cell r="CM44">
            <v>6309723</v>
          </cell>
          <cell r="CN44">
            <v>11743771</v>
          </cell>
          <cell r="CO44" t="str">
            <v>20-OUT NON-RES</v>
          </cell>
          <cell r="CP44">
            <v>24533987</v>
          </cell>
          <cell r="CQ44">
            <v>5953835</v>
          </cell>
          <cell r="CR44">
            <v>30487822</v>
          </cell>
          <cell r="CS44" t="str">
            <v>=</v>
          </cell>
          <cell r="CT44" t="str">
            <v>=</v>
          </cell>
          <cell r="CU44" t="str">
            <v>=</v>
          </cell>
          <cell r="CV44" t="str">
            <v>=</v>
          </cell>
          <cell r="CW44" t="str">
            <v>=</v>
          </cell>
          <cell r="CX44" t="str">
            <v>=</v>
          </cell>
          <cell r="CY44" t="str">
            <v>=</v>
          </cell>
          <cell r="CZ44" t="str">
            <v>=</v>
          </cell>
          <cell r="DA44" t="str">
            <v>TOTAL NON-RES</v>
          </cell>
          <cell r="DB44">
            <v>106516551</v>
          </cell>
          <cell r="DC44">
            <v>1670045147</v>
          </cell>
          <cell r="DD44">
            <v>1776561698</v>
          </cell>
          <cell r="DI44" t="str">
            <v>TOTAL NON-RES</v>
          </cell>
          <cell r="DJ44">
            <v>33514707</v>
          </cell>
          <cell r="DK44">
            <v>75976471</v>
          </cell>
          <cell r="DL44">
            <v>109491178</v>
          </cell>
          <cell r="DM44" t="str">
            <v>8-18I NON-RES</v>
          </cell>
          <cell r="DN44">
            <v>113184</v>
          </cell>
          <cell r="DO44">
            <v>13990108</v>
          </cell>
          <cell r="DP44">
            <v>14103292</v>
          </cell>
          <cell r="DY44" t="str">
            <v>=</v>
          </cell>
          <cell r="DZ44" t="str">
            <v>=</v>
          </cell>
          <cell r="EA44" t="str">
            <v>=</v>
          </cell>
          <cell r="EB44" t="str">
            <v>=</v>
          </cell>
          <cell r="ED44" t="str">
            <v>TAOS</v>
          </cell>
          <cell r="EE44">
            <v>73216913</v>
          </cell>
          <cell r="EF44">
            <v>1095331276</v>
          </cell>
        </row>
        <row r="45">
          <cell r="A45" t="str">
            <v>FILE:CAVAL08</v>
          </cell>
          <cell r="C45" t="str">
            <v>TOTAL 2008</v>
          </cell>
          <cell r="I45" t="str">
            <v>20-OUT RESIDENTIAL</v>
          </cell>
          <cell r="K45">
            <v>1227599</v>
          </cell>
          <cell r="L45">
            <v>1227599</v>
          </cell>
          <cell r="Q45" t="str">
            <v>26-IN RESIDENTIAL</v>
          </cell>
          <cell r="R45">
            <v>0</v>
          </cell>
          <cell r="S45">
            <v>1572330</v>
          </cell>
          <cell r="T45">
            <v>1572330</v>
          </cell>
          <cell r="U45" t="str">
            <v>TOTAL RESIDENTIAL</v>
          </cell>
          <cell r="V45">
            <v>0</v>
          </cell>
          <cell r="W45">
            <v>332666600</v>
          </cell>
          <cell r="X45">
            <v>332666600</v>
          </cell>
          <cell r="AC45" t="str">
            <v>FILE:CAVAL08</v>
          </cell>
          <cell r="AE45" t="str">
            <v>TAX YEAR  08</v>
          </cell>
          <cell r="BA45" t="str">
            <v>28-IN  RESIDENTIAL</v>
          </cell>
          <cell r="BB45">
            <v>0</v>
          </cell>
          <cell r="BC45">
            <v>740056</v>
          </cell>
          <cell r="BD45">
            <v>740056</v>
          </cell>
          <cell r="BE45" t="str">
            <v>28-OUT NON-RES</v>
          </cell>
          <cell r="BF45">
            <v>5065271</v>
          </cell>
          <cell r="BG45">
            <v>43610909</v>
          </cell>
          <cell r="BH45">
            <v>48676180</v>
          </cell>
          <cell r="CC45" t="str">
            <v>34-OUT RESIDENTIAL</v>
          </cell>
          <cell r="CE45">
            <v>1727393</v>
          </cell>
          <cell r="CF45">
            <v>1727393</v>
          </cell>
          <cell r="CG45" t="str">
            <v>TOTAL RESIDENTIAL</v>
          </cell>
          <cell r="CH45">
            <v>0</v>
          </cell>
          <cell r="CI45">
            <v>390069944</v>
          </cell>
          <cell r="CJ45">
            <v>390069944</v>
          </cell>
          <cell r="CK45" t="str">
            <v>39-OUT RESIDENTIAL</v>
          </cell>
          <cell r="CL45">
            <v>0</v>
          </cell>
          <cell r="CM45">
            <v>3252318</v>
          </cell>
          <cell r="CN45">
            <v>3252318</v>
          </cell>
          <cell r="CO45" t="str">
            <v>20-OUT RESIDENTIAL</v>
          </cell>
          <cell r="CQ45">
            <v>10094630</v>
          </cell>
          <cell r="CR45">
            <v>10094630</v>
          </cell>
          <cell r="CS45" t="str">
            <v>FILE:CAVAL08</v>
          </cell>
          <cell r="CU45" t="str">
            <v>TAX YEAR  08</v>
          </cell>
          <cell r="CW45" t="str">
            <v>FILE:CAVAL08</v>
          </cell>
          <cell r="CY45" t="str">
            <v>TAX YEAR  08</v>
          </cell>
          <cell r="DA45" t="str">
            <v>TOTAL RESIDENTIAL</v>
          </cell>
          <cell r="DB45">
            <v>0</v>
          </cell>
          <cell r="DC45">
            <v>4774246950</v>
          </cell>
          <cell r="DD45">
            <v>4774246950</v>
          </cell>
          <cell r="DI45" t="str">
            <v>TOTAL RESIDENTIAL</v>
          </cell>
          <cell r="DJ45">
            <v>0</v>
          </cell>
          <cell r="DK45">
            <v>111830251</v>
          </cell>
          <cell r="DL45">
            <v>111830251</v>
          </cell>
          <cell r="DM45" t="str">
            <v>8-181 RESIDENTIAL</v>
          </cell>
          <cell r="DO45">
            <v>31111258</v>
          </cell>
          <cell r="DP45">
            <v>31111258</v>
          </cell>
          <cell r="DQ45" t="str">
            <v>20/35  NON-RES</v>
          </cell>
          <cell r="DR45">
            <v>1819037</v>
          </cell>
          <cell r="DS45">
            <v>1873941</v>
          </cell>
          <cell r="DT45">
            <v>3692978</v>
          </cell>
          <cell r="DY45">
            <v>0</v>
          </cell>
          <cell r="EA45">
            <v>0</v>
          </cell>
          <cell r="ED45" t="str">
            <v>TORRANCE</v>
          </cell>
          <cell r="EE45">
            <v>73421001</v>
          </cell>
          <cell r="EF45">
            <v>219846810</v>
          </cell>
        </row>
        <row r="46">
          <cell r="C46" t="str">
            <v>FINAL</v>
          </cell>
          <cell r="I46" t="str">
            <v>TOTAL</v>
          </cell>
          <cell r="J46">
            <v>4191497</v>
          </cell>
          <cell r="K46">
            <v>7416434</v>
          </cell>
          <cell r="L46">
            <v>11607931</v>
          </cell>
          <cell r="Q46" t="str">
            <v>TOTAL</v>
          </cell>
          <cell r="R46">
            <v>317737</v>
          </cell>
          <cell r="S46">
            <v>1808938</v>
          </cell>
          <cell r="T46">
            <v>2126675</v>
          </cell>
          <cell r="U46" t="str">
            <v>-</v>
          </cell>
          <cell r="V46" t="str">
            <v>-</v>
          </cell>
          <cell r="W46" t="str">
            <v>-</v>
          </cell>
          <cell r="X46" t="str">
            <v>-</v>
          </cell>
          <cell r="AE46" t="str">
            <v>FINAL</v>
          </cell>
          <cell r="BA46" t="str">
            <v>TOTAL</v>
          </cell>
          <cell r="BB46">
            <v>720151</v>
          </cell>
          <cell r="BC46">
            <v>4356883</v>
          </cell>
          <cell r="BD46">
            <v>5077034</v>
          </cell>
          <cell r="BE46" t="str">
            <v>28-OUT RESIDENTIAL</v>
          </cell>
          <cell r="BG46">
            <v>227728546</v>
          </cell>
          <cell r="BH46">
            <v>227728546</v>
          </cell>
          <cell r="CC46" t="str">
            <v>TOTAL</v>
          </cell>
          <cell r="CD46">
            <v>4056764</v>
          </cell>
          <cell r="CE46">
            <v>5312606</v>
          </cell>
          <cell r="CF46">
            <v>9369370</v>
          </cell>
          <cell r="CG46" t="str">
            <v>-</v>
          </cell>
          <cell r="CH46" t="str">
            <v>-</v>
          </cell>
          <cell r="CI46" t="str">
            <v>-</v>
          </cell>
          <cell r="CJ46" t="str">
            <v>-</v>
          </cell>
          <cell r="CK46" t="str">
            <v>TOTAL</v>
          </cell>
          <cell r="CL46">
            <v>5434048</v>
          </cell>
          <cell r="CM46">
            <v>9562041</v>
          </cell>
          <cell r="CN46">
            <v>14996089</v>
          </cell>
          <cell r="CO46" t="str">
            <v>TOTAL</v>
          </cell>
          <cell r="CP46">
            <v>24533987</v>
          </cell>
          <cell r="CQ46">
            <v>16048465</v>
          </cell>
          <cell r="CR46">
            <v>40582452</v>
          </cell>
          <cell r="CU46" t="str">
            <v>FINAL</v>
          </cell>
          <cell r="CY46" t="str">
            <v>FINAL</v>
          </cell>
          <cell r="DA46" t="str">
            <v>-</v>
          </cell>
          <cell r="DB46" t="str">
            <v>-</v>
          </cell>
          <cell r="DC46" t="str">
            <v>-</v>
          </cell>
          <cell r="DD46" t="str">
            <v>-</v>
          </cell>
          <cell r="DI46" t="str">
            <v>-</v>
          </cell>
          <cell r="DJ46" t="str">
            <v>-</v>
          </cell>
          <cell r="DK46" t="str">
            <v>-</v>
          </cell>
          <cell r="DL46" t="str">
            <v>-</v>
          </cell>
          <cell r="DM46" t="str">
            <v>TOTAL</v>
          </cell>
          <cell r="DN46">
            <v>113184</v>
          </cell>
          <cell r="DO46">
            <v>45101366</v>
          </cell>
          <cell r="DP46">
            <v>45214550</v>
          </cell>
          <cell r="DQ46" t="str">
            <v>20/35  RESIDENTIAL</v>
          </cell>
          <cell r="DR46">
            <v>0</v>
          </cell>
          <cell r="DS46">
            <v>825409</v>
          </cell>
          <cell r="DT46">
            <v>825409</v>
          </cell>
          <cell r="EA46" t="str">
            <v>FINAL</v>
          </cell>
          <cell r="ED46" t="str">
            <v>UNION</v>
          </cell>
          <cell r="EE46">
            <v>29200306</v>
          </cell>
          <cell r="EF46">
            <v>79600582</v>
          </cell>
        </row>
        <row r="47">
          <cell r="BE47" t="str">
            <v>TOTAL</v>
          </cell>
          <cell r="BF47">
            <v>5065271</v>
          </cell>
          <cell r="BG47">
            <v>271339455</v>
          </cell>
          <cell r="BH47">
            <v>276404726</v>
          </cell>
          <cell r="DM47" t="str">
            <v>-</v>
          </cell>
          <cell r="DQ47" t="str">
            <v>TOTAL</v>
          </cell>
          <cell r="DR47">
            <v>1819037</v>
          </cell>
          <cell r="DS47">
            <v>2699350</v>
          </cell>
          <cell r="DT47">
            <v>4518387</v>
          </cell>
          <cell r="ED47" t="str">
            <v>VALENCIA</v>
          </cell>
          <cell r="EE47">
            <v>69286909</v>
          </cell>
          <cell r="EF47">
            <v>754884061</v>
          </cell>
        </row>
        <row r="48">
          <cell r="U48" t="str">
            <v>GRAND TOTAL</v>
          </cell>
          <cell r="V48">
            <v>73894085</v>
          </cell>
          <cell r="W48">
            <v>520304802</v>
          </cell>
          <cell r="X48">
            <v>594198887</v>
          </cell>
          <cell r="BE48" t="str">
            <v>-</v>
          </cell>
          <cell r="BF48" t="str">
            <v>-</v>
          </cell>
          <cell r="BG48" t="str">
            <v>-</v>
          </cell>
          <cell r="BH48" t="str">
            <v>-</v>
          </cell>
          <cell r="CG48" t="str">
            <v>GRAND TOTAL</v>
          </cell>
          <cell r="CH48">
            <v>115308724</v>
          </cell>
          <cell r="CI48">
            <v>536935789</v>
          </cell>
          <cell r="CJ48">
            <v>652244513</v>
          </cell>
          <cell r="DA48" t="str">
            <v>GRAND TOTAL</v>
          </cell>
          <cell r="DB48">
            <v>106516551</v>
          </cell>
          <cell r="DC48">
            <v>6444292097</v>
          </cell>
          <cell r="DD48">
            <v>6550808648</v>
          </cell>
          <cell r="DI48" t="str">
            <v>GRAND TOTAL</v>
          </cell>
          <cell r="DJ48">
            <v>33514707</v>
          </cell>
          <cell r="DK48">
            <v>187806722</v>
          </cell>
          <cell r="DL48">
            <v>221321429</v>
          </cell>
          <cell r="DM48" t="str">
            <v>TOTAL NON-RES</v>
          </cell>
          <cell r="DN48">
            <v>73216913</v>
          </cell>
          <cell r="DO48">
            <v>379355431</v>
          </cell>
          <cell r="DP48">
            <v>452572344</v>
          </cell>
          <cell r="DQ48" t="str">
            <v>-</v>
          </cell>
          <cell r="DR48" t="str">
            <v>-</v>
          </cell>
          <cell r="DS48" t="str">
            <v>-</v>
          </cell>
          <cell r="DT48" t="str">
            <v>-</v>
          </cell>
        </row>
        <row r="49">
          <cell r="I49" t="str">
            <v>14  NON-RES</v>
          </cell>
          <cell r="J49">
            <v>2563818</v>
          </cell>
          <cell r="K49">
            <v>3213488</v>
          </cell>
          <cell r="L49">
            <v>5777306</v>
          </cell>
          <cell r="Q49" t="str">
            <v>26-OUT NON-RES</v>
          </cell>
          <cell r="R49">
            <v>5812071</v>
          </cell>
          <cell r="S49">
            <v>1699203</v>
          </cell>
          <cell r="T49">
            <v>7511274</v>
          </cell>
          <cell r="U49" t="str">
            <v>=</v>
          </cell>
          <cell r="V49" t="str">
            <v>=</v>
          </cell>
          <cell r="W49" t="str">
            <v>=</v>
          </cell>
          <cell r="X49" t="str">
            <v>=</v>
          </cell>
          <cell r="BA49" t="str">
            <v>28-OUT NON-RES</v>
          </cell>
          <cell r="BB49">
            <v>24588118</v>
          </cell>
          <cell r="BC49">
            <v>5713769</v>
          </cell>
          <cell r="BD49">
            <v>30301887</v>
          </cell>
          <cell r="BE49" t="str">
            <v>TOTAL NON-RES</v>
          </cell>
          <cell r="BF49">
            <v>55761446</v>
          </cell>
          <cell r="BG49">
            <v>188683087</v>
          </cell>
          <cell r="BH49">
            <v>244444533</v>
          </cell>
          <cell r="CC49" t="str">
            <v>23/47 NON-RES</v>
          </cell>
          <cell r="CD49">
            <v>116142</v>
          </cell>
          <cell r="CE49">
            <v>331856</v>
          </cell>
          <cell r="CF49">
            <v>447998</v>
          </cell>
          <cell r="CG49" t="str">
            <v>=</v>
          </cell>
          <cell r="CH49" t="str">
            <v>=</v>
          </cell>
          <cell r="CI49" t="str">
            <v>=</v>
          </cell>
          <cell r="CJ49" t="str">
            <v>=</v>
          </cell>
          <cell r="CK49" t="str">
            <v>39-A-IN  NON-RES</v>
          </cell>
          <cell r="CL49">
            <v>126264</v>
          </cell>
          <cell r="CM49">
            <v>492554</v>
          </cell>
          <cell r="CN49">
            <v>618818</v>
          </cell>
          <cell r="CO49" t="str">
            <v>31-IN  NON-RES J S</v>
          </cell>
          <cell r="CP49">
            <v>2447805</v>
          </cell>
          <cell r="CQ49">
            <v>1975600</v>
          </cell>
          <cell r="CR49">
            <v>4423405</v>
          </cell>
          <cell r="DA49" t="str">
            <v>=</v>
          </cell>
          <cell r="DB49" t="str">
            <v>=</v>
          </cell>
          <cell r="DC49" t="str">
            <v>=</v>
          </cell>
          <cell r="DD49" t="str">
            <v>=</v>
          </cell>
          <cell r="DI49" t="str">
            <v>=</v>
          </cell>
          <cell r="DJ49" t="str">
            <v>=</v>
          </cell>
          <cell r="DK49" t="str">
            <v>=</v>
          </cell>
          <cell r="DL49" t="str">
            <v>=</v>
          </cell>
          <cell r="DM49" t="str">
            <v>TOTAL RESIDENTIAL</v>
          </cell>
          <cell r="DO49">
            <v>715975845</v>
          </cell>
          <cell r="DP49">
            <v>715975845</v>
          </cell>
          <cell r="DQ49" t="str">
            <v>TOTAL NON-RES</v>
          </cell>
          <cell r="DR49">
            <v>73421001</v>
          </cell>
          <cell r="DS49">
            <v>97131274</v>
          </cell>
          <cell r="DT49">
            <v>170552275</v>
          </cell>
          <cell r="ED49" t="str">
            <v>TOTAL</v>
          </cell>
          <cell r="EE49">
            <v>4068981092</v>
          </cell>
          <cell r="EF49">
            <v>39045505057</v>
          </cell>
        </row>
        <row r="50">
          <cell r="I50" t="str">
            <v>14  RESIDENTIAL</v>
          </cell>
          <cell r="K50">
            <v>1503077</v>
          </cell>
          <cell r="L50">
            <v>1503077</v>
          </cell>
          <cell r="Q50" t="str">
            <v>26-OUT RESIDENTIAL</v>
          </cell>
          <cell r="S50">
            <v>2122376</v>
          </cell>
          <cell r="T50">
            <v>2122376</v>
          </cell>
          <cell r="U50" t="str">
            <v>FILE:CAVAL08</v>
          </cell>
          <cell r="W50" t="str">
            <v>TAX YEAR  08</v>
          </cell>
          <cell r="BA50" t="str">
            <v>28-OUT RESIDENTIAL</v>
          </cell>
          <cell r="BB50">
            <v>0</v>
          </cell>
          <cell r="BC50">
            <v>2442505</v>
          </cell>
          <cell r="BD50">
            <v>2442505</v>
          </cell>
          <cell r="BE50" t="str">
            <v>TOTAL RESIDENTIAL</v>
          </cell>
          <cell r="BF50">
            <v>0</v>
          </cell>
          <cell r="BG50">
            <v>645240354</v>
          </cell>
          <cell r="BH50">
            <v>645240354</v>
          </cell>
          <cell r="CC50" t="str">
            <v>23/47 RESIDENTIAL</v>
          </cell>
          <cell r="CE50">
            <v>199054</v>
          </cell>
          <cell r="CF50">
            <v>199054</v>
          </cell>
          <cell r="CG50" t="str">
            <v>FILE:CAVAL08</v>
          </cell>
          <cell r="CI50" t="str">
            <v>TAX YEAR  08</v>
          </cell>
          <cell r="CK50" t="str">
            <v>39-A-IN RESIDENTIAL</v>
          </cell>
          <cell r="CL50">
            <v>0</v>
          </cell>
          <cell r="CM50">
            <v>194451</v>
          </cell>
          <cell r="CN50">
            <v>194451</v>
          </cell>
          <cell r="CO50" t="str">
            <v>31-IN RESIDENTIAL</v>
          </cell>
          <cell r="CQ50">
            <v>4350015</v>
          </cell>
          <cell r="CR50">
            <v>4350015</v>
          </cell>
          <cell r="DA50" t="str">
            <v>FILE:CAVAL08</v>
          </cell>
          <cell r="DC50" t="str">
            <v>TAX YEAR  08</v>
          </cell>
          <cell r="DI50" t="str">
            <v>FILE:CAVAL08</v>
          </cell>
          <cell r="DK50" t="str">
            <v>TAX YEAR  08</v>
          </cell>
          <cell r="DM50" t="str">
            <v>-</v>
          </cell>
          <cell r="DN50" t="str">
            <v>-</v>
          </cell>
          <cell r="DO50" t="str">
            <v>-</v>
          </cell>
          <cell r="DP50" t="str">
            <v>-</v>
          </cell>
          <cell r="DQ50" t="str">
            <v>TOTAL RESIDENTIAL</v>
          </cell>
          <cell r="DR50">
            <v>0</v>
          </cell>
          <cell r="DS50">
            <v>122715536</v>
          </cell>
          <cell r="DT50">
            <v>122715536</v>
          </cell>
        </row>
        <row r="51">
          <cell r="I51" t="str">
            <v>TOTAL</v>
          </cell>
          <cell r="J51">
            <v>2563818</v>
          </cell>
          <cell r="K51">
            <v>4716565</v>
          </cell>
          <cell r="L51">
            <v>7280383</v>
          </cell>
          <cell r="Q51" t="str">
            <v>TOTAL</v>
          </cell>
          <cell r="R51">
            <v>5812071</v>
          </cell>
          <cell r="S51">
            <v>3821579</v>
          </cell>
          <cell r="T51">
            <v>9633650</v>
          </cell>
          <cell r="W51" t="str">
            <v>FINAL</v>
          </cell>
          <cell r="BA51" t="str">
            <v>TOTAL</v>
          </cell>
          <cell r="BB51">
            <v>24588118</v>
          </cell>
          <cell r="BC51">
            <v>8156274</v>
          </cell>
          <cell r="BD51">
            <v>32744392</v>
          </cell>
          <cell r="BE51" t="str">
            <v>-</v>
          </cell>
          <cell r="BF51" t="str">
            <v>-</v>
          </cell>
          <cell r="BG51" t="str">
            <v>-</v>
          </cell>
          <cell r="BH51" t="str">
            <v>-</v>
          </cell>
          <cell r="CC51" t="str">
            <v>TOTAL</v>
          </cell>
          <cell r="CD51">
            <v>116142</v>
          </cell>
          <cell r="CE51">
            <v>530910</v>
          </cell>
          <cell r="CF51">
            <v>647052</v>
          </cell>
          <cell r="CI51" t="str">
            <v>FINAL</v>
          </cell>
          <cell r="CK51" t="str">
            <v>TOTAL</v>
          </cell>
          <cell r="CL51">
            <v>126264</v>
          </cell>
          <cell r="CM51">
            <v>687005</v>
          </cell>
          <cell r="CN51">
            <v>813269</v>
          </cell>
          <cell r="CO51" t="str">
            <v>TOTAL</v>
          </cell>
          <cell r="CP51">
            <v>2447805</v>
          </cell>
          <cell r="CQ51">
            <v>6325615</v>
          </cell>
          <cell r="CR51">
            <v>8773420</v>
          </cell>
          <cell r="DK51" t="str">
            <v>FINAL</v>
          </cell>
          <cell r="DM51" t="str">
            <v>GRAND TOTAL</v>
          </cell>
          <cell r="DN51">
            <v>73216913</v>
          </cell>
          <cell r="DO51">
            <v>1095331276</v>
          </cell>
          <cell r="DP51">
            <v>1168548189</v>
          </cell>
          <cell r="DQ51" t="str">
            <v>-</v>
          </cell>
          <cell r="DR51" t="str">
            <v>-</v>
          </cell>
          <cell r="DS51" t="str">
            <v>-</v>
          </cell>
          <cell r="DT51" t="str">
            <v>-</v>
          </cell>
        </row>
        <row r="52">
          <cell r="BA52" t="str">
            <v>-</v>
          </cell>
          <cell r="BB52" t="str">
            <v>-</v>
          </cell>
          <cell r="BC52" t="str">
            <v>-</v>
          </cell>
          <cell r="BD52" t="str">
            <v>-</v>
          </cell>
          <cell r="BE52" t="str">
            <v>GRAND TOTAL</v>
          </cell>
          <cell r="BF52">
            <v>55761446</v>
          </cell>
          <cell r="BG52">
            <v>833923441</v>
          </cell>
          <cell r="BH52">
            <v>889684887</v>
          </cell>
          <cell r="DM52" t="str">
            <v>=</v>
          </cell>
          <cell r="DN52" t="str">
            <v>=</v>
          </cell>
          <cell r="DO52" t="str">
            <v>=</v>
          </cell>
          <cell r="DP52" t="str">
            <v>=</v>
          </cell>
          <cell r="DQ52" t="str">
            <v>GRAND TOTAL</v>
          </cell>
          <cell r="DR52">
            <v>73421001</v>
          </cell>
          <cell r="DS52">
            <v>219846810</v>
          </cell>
          <cell r="DT52">
            <v>293267811</v>
          </cell>
        </row>
        <row r="53">
          <cell r="I53" t="str">
            <v>27/28 NON-RES</v>
          </cell>
          <cell r="J53">
            <v>2066830</v>
          </cell>
          <cell r="K53">
            <v>1287323</v>
          </cell>
          <cell r="L53">
            <v>3354153</v>
          </cell>
          <cell r="Q53" t="str">
            <v>35 NON-RES</v>
          </cell>
          <cell r="R53">
            <v>649125</v>
          </cell>
          <cell r="S53">
            <v>389465</v>
          </cell>
          <cell r="T53">
            <v>1038590</v>
          </cell>
          <cell r="BA53" t="str">
            <v>TOTAL NON-RES</v>
          </cell>
          <cell r="BB53">
            <v>234708617</v>
          </cell>
          <cell r="BC53">
            <v>237369323</v>
          </cell>
          <cell r="BD53">
            <v>472077940</v>
          </cell>
          <cell r="BE53" t="str">
            <v>=</v>
          </cell>
          <cell r="BF53" t="str">
            <v>=</v>
          </cell>
          <cell r="BG53" t="str">
            <v>=</v>
          </cell>
          <cell r="BH53" t="str">
            <v>=</v>
          </cell>
          <cell r="CC53" t="str">
            <v>53 NON-RES</v>
          </cell>
          <cell r="CD53">
            <v>899900</v>
          </cell>
          <cell r="CE53">
            <v>1124170</v>
          </cell>
          <cell r="CF53">
            <v>2024070</v>
          </cell>
          <cell r="CK53" t="str">
            <v>9/53 NON-RES</v>
          </cell>
          <cell r="CL53">
            <v>432711</v>
          </cell>
          <cell r="CM53">
            <v>337080</v>
          </cell>
          <cell r="CN53">
            <v>769791</v>
          </cell>
          <cell r="CO53" t="str">
            <v>31-A-IN  NON-RES S Y</v>
          </cell>
          <cell r="CP53">
            <v>191558</v>
          </cell>
          <cell r="CQ53">
            <v>1072285</v>
          </cell>
          <cell r="CR53">
            <v>1263843</v>
          </cell>
          <cell r="DM53" t="str">
            <v>FILE:CAVAL08</v>
          </cell>
          <cell r="DO53" t="str">
            <v>TAX YEAR  08</v>
          </cell>
          <cell r="DQ53" t="str">
            <v>=</v>
          </cell>
          <cell r="DR53" t="str">
            <v>=</v>
          </cell>
          <cell r="DS53" t="str">
            <v>=</v>
          </cell>
          <cell r="DT53" t="str">
            <v>=</v>
          </cell>
        </row>
        <row r="54">
          <cell r="I54" t="str">
            <v>27/28 RESIDENTIAL</v>
          </cell>
          <cell r="K54">
            <v>401594</v>
          </cell>
          <cell r="L54">
            <v>401594</v>
          </cell>
          <cell r="Q54" t="str">
            <v>35 RESIDENTIAL</v>
          </cell>
          <cell r="S54">
            <v>245261</v>
          </cell>
          <cell r="T54">
            <v>245261</v>
          </cell>
          <cell r="BA54" t="str">
            <v>TOTAL RESIDENTIAL</v>
          </cell>
          <cell r="BB54">
            <v>0</v>
          </cell>
          <cell r="BC54">
            <v>318764172</v>
          </cell>
          <cell r="BD54">
            <v>318764172</v>
          </cell>
          <cell r="BE54" t="str">
            <v>FILE:CAVAL08</v>
          </cell>
          <cell r="BG54" t="str">
            <v>TAX YEAR  08</v>
          </cell>
          <cell r="CC54" t="str">
            <v>53 RESIDENTIAL</v>
          </cell>
          <cell r="CE54">
            <v>696652</v>
          </cell>
          <cell r="CF54">
            <v>696652</v>
          </cell>
          <cell r="CK54" t="str">
            <v>9/53 RESIDENTIAL</v>
          </cell>
          <cell r="CL54">
            <v>0</v>
          </cell>
          <cell r="CM54">
            <v>229472</v>
          </cell>
          <cell r="CN54">
            <v>229472</v>
          </cell>
          <cell r="CO54" t="str">
            <v>31-A-IN RESIDENTIAL</v>
          </cell>
          <cell r="CQ54">
            <v>1349453</v>
          </cell>
          <cell r="CR54">
            <v>1349453</v>
          </cell>
          <cell r="DO54" t="str">
            <v>FINAL</v>
          </cell>
          <cell r="DQ54" t="str">
            <v>FILE:CAVAL08</v>
          </cell>
          <cell r="DS54" t="str">
            <v>TAX YEAR  08</v>
          </cell>
        </row>
        <row r="55">
          <cell r="I55" t="str">
            <v>TOTAL</v>
          </cell>
          <cell r="J55">
            <v>2066830</v>
          </cell>
          <cell r="K55">
            <v>1688917</v>
          </cell>
          <cell r="L55">
            <v>3755747</v>
          </cell>
          <cell r="Q55" t="str">
            <v>TOTAL</v>
          </cell>
          <cell r="R55">
            <v>649125</v>
          </cell>
          <cell r="S55">
            <v>634726</v>
          </cell>
          <cell r="T55">
            <v>1283851</v>
          </cell>
          <cell r="BA55" t="str">
            <v>-</v>
          </cell>
          <cell r="BB55" t="str">
            <v>-</v>
          </cell>
          <cell r="BC55" t="str">
            <v>-</v>
          </cell>
          <cell r="BD55" t="str">
            <v>-</v>
          </cell>
          <cell r="BG55" t="str">
            <v>FINAL</v>
          </cell>
          <cell r="CC55" t="str">
            <v>TOTAL</v>
          </cell>
          <cell r="CD55">
            <v>899900</v>
          </cell>
          <cell r="CE55">
            <v>1820822</v>
          </cell>
          <cell r="CF55">
            <v>2720722</v>
          </cell>
          <cell r="CK55" t="str">
            <v>TOTAL</v>
          </cell>
          <cell r="CL55">
            <v>432711</v>
          </cell>
          <cell r="CM55">
            <v>566552</v>
          </cell>
          <cell r="CN55">
            <v>999263</v>
          </cell>
          <cell r="CO55" t="str">
            <v>TOTAL</v>
          </cell>
          <cell r="CP55">
            <v>191558</v>
          </cell>
          <cell r="CQ55">
            <v>2421738</v>
          </cell>
          <cell r="CR55">
            <v>2613296</v>
          </cell>
          <cell r="DS55" t="str">
            <v>FINAL</v>
          </cell>
        </row>
        <row r="56">
          <cell r="Q56" t="str">
            <v>-</v>
          </cell>
          <cell r="R56" t="str">
            <v>-</v>
          </cell>
          <cell r="S56" t="str">
            <v>-</v>
          </cell>
          <cell r="T56" t="str">
            <v>-</v>
          </cell>
          <cell r="BA56" t="str">
            <v>GRAND TOTAL</v>
          </cell>
          <cell r="BB56">
            <v>234708617</v>
          </cell>
          <cell r="BC56">
            <v>556133495</v>
          </cell>
          <cell r="BD56">
            <v>790842112</v>
          </cell>
          <cell r="CC56" t="str">
            <v>-</v>
          </cell>
          <cell r="CD56" t="str">
            <v>-</v>
          </cell>
          <cell r="CE56" t="str">
            <v>-</v>
          </cell>
          <cell r="CF56" t="str">
            <v>-</v>
          </cell>
        </row>
        <row r="57">
          <cell r="I57" t="str">
            <v>TOTAL NON-RES</v>
          </cell>
          <cell r="J57">
            <v>111517485</v>
          </cell>
          <cell r="K57">
            <v>299879368</v>
          </cell>
          <cell r="L57">
            <v>411396853</v>
          </cell>
          <cell r="Q57" t="str">
            <v>TOTAL NON-RES</v>
          </cell>
          <cell r="R57">
            <v>43286583</v>
          </cell>
          <cell r="S57">
            <v>186588444</v>
          </cell>
          <cell r="T57">
            <v>229875027</v>
          </cell>
          <cell r="BA57" t="str">
            <v>=</v>
          </cell>
          <cell r="BB57" t="str">
            <v>=</v>
          </cell>
          <cell r="BC57" t="str">
            <v>=</v>
          </cell>
          <cell r="BD57" t="str">
            <v>=</v>
          </cell>
          <cell r="CC57" t="str">
            <v>TOTAL NON-RES</v>
          </cell>
          <cell r="CD57">
            <v>30077751</v>
          </cell>
          <cell r="CE57">
            <v>42342164</v>
          </cell>
          <cell r="CF57">
            <v>72419915</v>
          </cell>
          <cell r="CK57" t="str">
            <v>9-A  NON-RES</v>
          </cell>
          <cell r="CL57">
            <v>3161786</v>
          </cell>
          <cell r="CM57">
            <v>413620</v>
          </cell>
          <cell r="CN57">
            <v>3575406</v>
          </cell>
          <cell r="CO57" t="str">
            <v>31-OUT  NON-RES</v>
          </cell>
          <cell r="CP57">
            <v>13313929</v>
          </cell>
          <cell r="CQ57">
            <v>13685635</v>
          </cell>
          <cell r="CR57">
            <v>26999564</v>
          </cell>
        </row>
        <row r="58">
          <cell r="I58" t="str">
            <v>TOTAL RESIDENTIAL</v>
          </cell>
          <cell r="J58">
            <v>0</v>
          </cell>
          <cell r="K58">
            <v>457187204</v>
          </cell>
          <cell r="L58">
            <v>457187204</v>
          </cell>
          <cell r="Q58" t="str">
            <v>TOTAL RESIDENTIAL</v>
          </cell>
          <cell r="R58">
            <v>0</v>
          </cell>
          <cell r="S58">
            <v>324821465</v>
          </cell>
          <cell r="T58">
            <v>324821465</v>
          </cell>
          <cell r="BA58" t="str">
            <v>FILE:CAVAL08</v>
          </cell>
          <cell r="CC58" t="str">
            <v>TOTAL RESIDENTIAL</v>
          </cell>
          <cell r="CD58">
            <v>0</v>
          </cell>
          <cell r="CE58">
            <v>66983005</v>
          </cell>
          <cell r="CF58">
            <v>66983005</v>
          </cell>
          <cell r="CK58" t="str">
            <v>9-A  RESIDENTIAL</v>
          </cell>
          <cell r="CL58">
            <v>0</v>
          </cell>
          <cell r="CM58">
            <v>223988</v>
          </cell>
          <cell r="CN58">
            <v>223988</v>
          </cell>
          <cell r="CO58" t="str">
            <v>31-OUT  RESIDENTIAL</v>
          </cell>
          <cell r="CQ58">
            <v>37280689</v>
          </cell>
          <cell r="CR58">
            <v>37280689</v>
          </cell>
        </row>
        <row r="59">
          <cell r="I59" t="str">
            <v>-</v>
          </cell>
          <cell r="J59" t="str">
            <v>-</v>
          </cell>
          <cell r="K59" t="str">
            <v>-</v>
          </cell>
          <cell r="L59" t="str">
            <v>-</v>
          </cell>
          <cell r="Q59" t="str">
            <v>-</v>
          </cell>
          <cell r="R59" t="str">
            <v>-</v>
          </cell>
          <cell r="S59" t="str">
            <v>-</v>
          </cell>
          <cell r="T59" t="str">
            <v>-</v>
          </cell>
          <cell r="CC59" t="str">
            <v>-</v>
          </cell>
          <cell r="CD59" t="str">
            <v>-</v>
          </cell>
          <cell r="CE59" t="str">
            <v>-</v>
          </cell>
          <cell r="CF59" t="str">
            <v>-</v>
          </cell>
          <cell r="CK59" t="str">
            <v>TOTAL</v>
          </cell>
          <cell r="CL59">
            <v>3161786</v>
          </cell>
          <cell r="CM59">
            <v>637608</v>
          </cell>
          <cell r="CN59">
            <v>3799394</v>
          </cell>
          <cell r="CO59" t="str">
            <v>TOTAL</v>
          </cell>
          <cell r="CP59">
            <v>13313929</v>
          </cell>
          <cell r="CQ59">
            <v>50966324</v>
          </cell>
          <cell r="CR59">
            <v>64280253</v>
          </cell>
        </row>
        <row r="60">
          <cell r="I60" t="str">
            <v>GRAND TOTAL</v>
          </cell>
          <cell r="J60">
            <v>111517485</v>
          </cell>
          <cell r="K60">
            <v>757066572</v>
          </cell>
          <cell r="L60">
            <v>868584057</v>
          </cell>
          <cell r="Q60" t="str">
            <v>GRAND TOTAL</v>
          </cell>
          <cell r="R60">
            <v>43286583</v>
          </cell>
          <cell r="S60">
            <v>511409909</v>
          </cell>
          <cell r="T60">
            <v>554696492</v>
          </cell>
          <cell r="CC60" t="str">
            <v>GRAND TOTAL</v>
          </cell>
          <cell r="CD60">
            <v>30077751</v>
          </cell>
          <cell r="CE60">
            <v>109325169</v>
          </cell>
          <cell r="CF60">
            <v>139402920</v>
          </cell>
          <cell r="CK60" t="str">
            <v>-</v>
          </cell>
          <cell r="CL60" t="str">
            <v>-</v>
          </cell>
          <cell r="CM60" t="str">
            <v>-</v>
          </cell>
          <cell r="CN60" t="str">
            <v>-</v>
          </cell>
          <cell r="CO60" t="str">
            <v>-</v>
          </cell>
          <cell r="CP60" t="str">
            <v>-</v>
          </cell>
          <cell r="CQ60" t="str">
            <v>-</v>
          </cell>
          <cell r="CR60" t="str">
            <v>-</v>
          </cell>
        </row>
        <row r="61">
          <cell r="I61" t="str">
            <v>=</v>
          </cell>
          <cell r="J61" t="str">
            <v>=</v>
          </cell>
          <cell r="K61" t="str">
            <v>=</v>
          </cell>
          <cell r="L61" t="str">
            <v>=</v>
          </cell>
          <cell r="Q61" t="str">
            <v>=</v>
          </cell>
          <cell r="R61" t="str">
            <v>=</v>
          </cell>
          <cell r="S61" t="str">
            <v>=</v>
          </cell>
          <cell r="T61" t="str">
            <v>=</v>
          </cell>
          <cell r="CC61" t="str">
            <v>=</v>
          </cell>
          <cell r="CD61" t="str">
            <v>=</v>
          </cell>
          <cell r="CE61" t="str">
            <v>=</v>
          </cell>
          <cell r="CF61" t="str">
            <v>=</v>
          </cell>
          <cell r="CK61" t="str">
            <v>TOTAL NON-RES</v>
          </cell>
          <cell r="CL61">
            <v>43635121</v>
          </cell>
          <cell r="CM61">
            <v>98937108</v>
          </cell>
          <cell r="CN61">
            <v>142572229</v>
          </cell>
          <cell r="CO61" t="str">
            <v>TOTAL NON-RES</v>
          </cell>
          <cell r="CP61">
            <v>115336830</v>
          </cell>
          <cell r="CQ61">
            <v>885306538</v>
          </cell>
          <cell r="CR61">
            <v>1000643368</v>
          </cell>
        </row>
        <row r="62">
          <cell r="I62" t="str">
            <v>FILE:CAVAL08</v>
          </cell>
          <cell r="K62" t="str">
            <v>TAX YEAR  08</v>
          </cell>
          <cell r="Q62" t="str">
            <v>FILE:CAVAL08</v>
          </cell>
          <cell r="S62" t="str">
            <v>TAX YEAR  08</v>
          </cell>
          <cell r="CC62" t="str">
            <v>FILE:CAVAL08</v>
          </cell>
          <cell r="CE62" t="str">
            <v>TAX YEAR  08</v>
          </cell>
          <cell r="CK62" t="str">
            <v>TOTAL RESIDENTIAL</v>
          </cell>
          <cell r="CL62">
            <v>0</v>
          </cell>
          <cell r="CM62">
            <v>110373423</v>
          </cell>
          <cell r="CN62">
            <v>110373423</v>
          </cell>
          <cell r="CO62" t="str">
            <v>TOTAL RESIDENTIAL</v>
          </cell>
          <cell r="CP62">
            <v>0</v>
          </cell>
          <cell r="CQ62">
            <v>2507456021</v>
          </cell>
          <cell r="CR62">
            <v>2507456021</v>
          </cell>
        </row>
        <row r="63">
          <cell r="K63" t="str">
            <v>FINAL</v>
          </cell>
          <cell r="S63" t="str">
            <v>FINAL</v>
          </cell>
          <cell r="CE63" t="str">
            <v>FINAL</v>
          </cell>
          <cell r="CK63" t="str">
            <v>-</v>
          </cell>
          <cell r="CL63" t="str">
            <v>-</v>
          </cell>
          <cell r="CM63" t="str">
            <v>-</v>
          </cell>
          <cell r="CN63" t="str">
            <v>-</v>
          </cell>
          <cell r="CO63" t="str">
            <v>-</v>
          </cell>
          <cell r="CP63" t="str">
            <v>-</v>
          </cell>
          <cell r="CQ63" t="str">
            <v>-</v>
          </cell>
          <cell r="CR63" t="str">
            <v>-</v>
          </cell>
        </row>
        <row r="64">
          <cell r="CK64" t="str">
            <v>GRAND TOTAL</v>
          </cell>
          <cell r="CL64">
            <v>43635121</v>
          </cell>
          <cell r="CM64">
            <v>209310531</v>
          </cell>
          <cell r="CN64">
            <v>252945652</v>
          </cell>
          <cell r="CO64" t="str">
            <v>GRAND TOTAL</v>
          </cell>
          <cell r="CP64">
            <v>115336830</v>
          </cell>
          <cell r="CQ64">
            <v>3392762559</v>
          </cell>
          <cell r="CR64">
            <v>3508099389</v>
          </cell>
        </row>
        <row r="65">
          <cell r="CK65" t="str">
            <v>=</v>
          </cell>
          <cell r="CL65" t="str">
            <v>=</v>
          </cell>
          <cell r="CM65" t="str">
            <v>=</v>
          </cell>
          <cell r="CN65" t="str">
            <v>=</v>
          </cell>
          <cell r="CO65" t="str">
            <v>=</v>
          </cell>
          <cell r="CP65" t="str">
            <v>=</v>
          </cell>
          <cell r="CQ65" t="str">
            <v>=</v>
          </cell>
          <cell r="CR65" t="str">
            <v>=</v>
          </cell>
        </row>
        <row r="66">
          <cell r="CK66" t="str">
            <v>FILE:CAVAL08</v>
          </cell>
          <cell r="CM66" t="str">
            <v>TAX YEAR  08</v>
          </cell>
          <cell r="CO66" t="str">
            <v>FILE:CAVAL08</v>
          </cell>
          <cell r="CQ66" t="str">
            <v>TAX YEAR  08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emplate"/>
      <sheetName val="Input"/>
      <sheetName val="GO DEBT SUMMARY"/>
      <sheetName val="Hospital Mills"/>
      <sheetName val="Special Districts"/>
      <sheetName val="PED"/>
      <sheetName val="HED"/>
      <sheetName val="Debt Service Rate Setting"/>
      <sheetName val="Distribution Statistics"/>
      <sheetName val="School District Stats"/>
      <sheetName val="Other Statistics "/>
      <sheetName val="PT Estimate Worksheet Data"/>
      <sheetName val="Bernalillo"/>
      <sheetName val="Catron"/>
      <sheetName val="Chaves"/>
      <sheetName val="Cibola"/>
      <sheetName val="Colfax"/>
      <sheetName val="Curry"/>
      <sheetName val="De Baca"/>
      <sheetName val="Dona Ana"/>
      <sheetName val="Eddy"/>
      <sheetName val="Grant"/>
      <sheetName val="Guadalupe"/>
      <sheetName val="Harding"/>
      <sheetName val="Hidalgo"/>
      <sheetName val="Lea"/>
      <sheetName val="Lincoln"/>
      <sheetName val="Los Alamos"/>
      <sheetName val="Luna"/>
      <sheetName val="McKinley"/>
      <sheetName val="Mora"/>
      <sheetName val="Otero"/>
      <sheetName val="Quay"/>
      <sheetName val="Rio Arriba"/>
      <sheetName val="Roosevelt"/>
      <sheetName val="San Juan"/>
      <sheetName val="San Miguel"/>
      <sheetName val="Sandoval"/>
      <sheetName val="Santa Fe"/>
      <sheetName val="Sierra"/>
      <sheetName val="Socorro"/>
      <sheetName val="Taos"/>
      <sheetName val="Torrance"/>
      <sheetName val="Union"/>
      <sheetName val="Valencia"/>
      <sheetName val="CHANGE LO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>
        <row r="5">
          <cell r="N5">
            <v>11.85</v>
          </cell>
        </row>
      </sheetData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heet1"/>
      <sheetName val="Revenue Distribution"/>
      <sheetName val="Bernalillo"/>
      <sheetName val="Bernalillo1"/>
      <sheetName val="Catron"/>
      <sheetName val="Catron1"/>
      <sheetName val="Chaves"/>
      <sheetName val="Chaves1"/>
      <sheetName val="Cibola"/>
      <sheetName val="Cibola1"/>
      <sheetName val="Colfax"/>
      <sheetName val="Colfax1"/>
      <sheetName val="Curry"/>
      <sheetName val="Curry1"/>
      <sheetName val="DeBaca"/>
      <sheetName val="DeBaca1"/>
      <sheetName val="Dona Ana"/>
      <sheetName val="Dona Ana1"/>
      <sheetName val="Eddy"/>
      <sheetName val="Eddy1"/>
      <sheetName val="Grant"/>
      <sheetName val="Grant1"/>
      <sheetName val="Guadalupe"/>
      <sheetName val="Guadalupe1"/>
      <sheetName val="Harding"/>
      <sheetName val="Harding1"/>
      <sheetName val="Hidalgo"/>
      <sheetName val="Hidalgo1"/>
      <sheetName val="Lea"/>
      <sheetName val="Lea1"/>
      <sheetName val="Lincoln"/>
      <sheetName val="Lincoln1"/>
      <sheetName val="Los Alamos"/>
      <sheetName val="Los Alamos1"/>
      <sheetName val="Luna"/>
      <sheetName val="Luna1"/>
      <sheetName val="Mora"/>
      <sheetName val="Mora1"/>
      <sheetName val="McKinley"/>
      <sheetName val="McKinley1"/>
      <sheetName val="Otero"/>
      <sheetName val="Otero1"/>
      <sheetName val="Quay"/>
      <sheetName val="Quay1"/>
      <sheetName val="Rio Arriba"/>
      <sheetName val="Rio Arriba1"/>
      <sheetName val="Roosevelt"/>
      <sheetName val="Roosevelt1"/>
      <sheetName val="SanJuan"/>
      <sheetName val="SanJuan1"/>
      <sheetName val="San Miguel"/>
      <sheetName val="San Miguel1"/>
      <sheetName val="Sandoval"/>
      <sheetName val="Sandoval1"/>
      <sheetName val="Santa Fe"/>
      <sheetName val="Santa Fe1"/>
      <sheetName val="Sierra"/>
      <sheetName val="Sierra1"/>
      <sheetName val="Socorro"/>
      <sheetName val="Socorro1"/>
      <sheetName val="Taos"/>
      <sheetName val="Taos1"/>
      <sheetName val="Torrance"/>
      <sheetName val="Torrance1"/>
      <sheetName val="Union"/>
      <sheetName val="Union1"/>
      <sheetName val="Valencia"/>
      <sheetName val="Valencia1"/>
      <sheetName val="No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>
        <row r="4">
          <cell r="B4">
            <v>17805932.639982302</v>
          </cell>
        </row>
        <row r="5">
          <cell r="B5">
            <v>33052934.7231775</v>
          </cell>
        </row>
      </sheetData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Sheet2"/>
      <sheetName val="Sheet1"/>
      <sheetName val="Tables"/>
      <sheetName val="Tables 2"/>
      <sheetName val="Tables 3"/>
      <sheetName val="all exemptions"/>
    </sheetNames>
    <sheetDataSet>
      <sheetData sheetId="0" refreshError="1"/>
      <sheetData sheetId="1" refreshError="1"/>
      <sheetData sheetId="2" refreshError="1"/>
      <sheetData sheetId="3">
        <row r="6">
          <cell r="F6" t="str">
            <v>Table 1: New Mexico Property Tax Values and Obligations1 by County, Tax Year 2007</v>
          </cell>
        </row>
        <row r="8">
          <cell r="G8" t="str">
            <v>Net Taxable Values</v>
          </cell>
          <cell r="L8" t="str">
            <v>Obligations</v>
          </cell>
        </row>
        <row r="9">
          <cell r="H9" t="str">
            <v>Non-</v>
          </cell>
          <cell r="M9" t="str">
            <v>Non-</v>
          </cell>
        </row>
        <row r="10">
          <cell r="F10" t="str">
            <v>County</v>
          </cell>
          <cell r="G10" t="str">
            <v>Residential</v>
          </cell>
          <cell r="H10" t="str">
            <v>residential</v>
          </cell>
          <cell r="I10" t="str">
            <v>Other2</v>
          </cell>
          <cell r="J10" t="str">
            <v>Total</v>
          </cell>
          <cell r="L10" t="str">
            <v>Residential</v>
          </cell>
          <cell r="M10" t="str">
            <v>residential</v>
          </cell>
          <cell r="N10" t="str">
            <v>Other2</v>
          </cell>
          <cell r="O10" t="str">
            <v>Total</v>
          </cell>
        </row>
        <row r="11">
          <cell r="F11" t="str">
            <v>Bernalillo</v>
          </cell>
          <cell r="G11">
            <v>9285156037</v>
          </cell>
          <cell r="H11">
            <v>3663150928</v>
          </cell>
          <cell r="I11">
            <v>0</v>
          </cell>
          <cell r="J11">
            <v>12948306965</v>
          </cell>
          <cell r="L11">
            <v>344653534.0623188</v>
          </cell>
          <cell r="M11">
            <v>161231579.82835153</v>
          </cell>
          <cell r="N11">
            <v>0</v>
          </cell>
          <cell r="O11">
            <v>505885113.8906703</v>
          </cell>
        </row>
        <row r="12">
          <cell r="F12" t="str">
            <v>Catron</v>
          </cell>
          <cell r="G12">
            <v>35978706</v>
          </cell>
          <cell r="H12">
            <v>62036464</v>
          </cell>
          <cell r="I12">
            <v>0</v>
          </cell>
          <cell r="J12">
            <v>98015170</v>
          </cell>
          <cell r="L12">
            <v>548648.89491599996</v>
          </cell>
          <cell r="M12">
            <v>831499.18093799998</v>
          </cell>
          <cell r="N12">
            <v>0</v>
          </cell>
          <cell r="O12">
            <v>1380148.0758539999</v>
          </cell>
        </row>
        <row r="13">
          <cell r="F13" t="str">
            <v>Chaves</v>
          </cell>
          <cell r="G13">
            <v>418443699</v>
          </cell>
          <cell r="H13">
            <v>376229143</v>
          </cell>
          <cell r="I13">
            <v>96060911</v>
          </cell>
          <cell r="J13">
            <v>890733753</v>
          </cell>
          <cell r="L13">
            <v>9956028.3398051467</v>
          </cell>
          <cell r="M13">
            <v>9909954.8626968507</v>
          </cell>
          <cell r="N13">
            <v>2097552.4628694998</v>
          </cell>
          <cell r="O13">
            <v>21963535.6653715</v>
          </cell>
        </row>
        <row r="14">
          <cell r="F14" t="str">
            <v>Cibola</v>
          </cell>
          <cell r="G14">
            <v>88108541</v>
          </cell>
          <cell r="H14">
            <v>150834330</v>
          </cell>
          <cell r="I14">
            <v>0</v>
          </cell>
          <cell r="J14">
            <v>238942871</v>
          </cell>
          <cell r="L14">
            <v>2356431.8567025</v>
          </cell>
          <cell r="M14">
            <v>4845120.050942</v>
          </cell>
          <cell r="N14">
            <v>0</v>
          </cell>
          <cell r="O14">
            <v>7201551.9076445</v>
          </cell>
        </row>
        <row r="15">
          <cell r="F15" t="str">
            <v>Colfax</v>
          </cell>
          <cell r="G15">
            <v>302296132</v>
          </cell>
          <cell r="H15">
            <v>222035337</v>
          </cell>
          <cell r="I15">
            <v>87595777</v>
          </cell>
          <cell r="J15">
            <v>611927246</v>
          </cell>
          <cell r="L15">
            <v>5333961.8654610002</v>
          </cell>
          <cell r="M15">
            <v>4302528.7407325003</v>
          </cell>
          <cell r="N15">
            <v>1875907.3623434997</v>
          </cell>
          <cell r="O15">
            <v>11512397.968536999</v>
          </cell>
        </row>
        <row r="16">
          <cell r="F16" t="str">
            <v>Curry</v>
          </cell>
          <cell r="G16">
            <v>307743938</v>
          </cell>
          <cell r="H16">
            <v>237890756</v>
          </cell>
          <cell r="I16">
            <v>0</v>
          </cell>
          <cell r="J16">
            <v>545634694</v>
          </cell>
          <cell r="L16">
            <v>7132674.2088759998</v>
          </cell>
          <cell r="M16">
            <v>5191100.9415140003</v>
          </cell>
          <cell r="N16">
            <v>0</v>
          </cell>
          <cell r="O16">
            <v>12323775.150389999</v>
          </cell>
        </row>
        <row r="17">
          <cell r="F17" t="str">
            <v>DeBaca</v>
          </cell>
          <cell r="G17">
            <v>10010459</v>
          </cell>
          <cell r="H17">
            <v>36522336</v>
          </cell>
          <cell r="I17">
            <v>0</v>
          </cell>
          <cell r="J17">
            <v>46532795</v>
          </cell>
          <cell r="L17">
            <v>284415.38777149993</v>
          </cell>
          <cell r="M17">
            <v>958999.09717500012</v>
          </cell>
          <cell r="N17">
            <v>0</v>
          </cell>
          <cell r="O17">
            <v>1243414.4849465</v>
          </cell>
        </row>
        <row r="18">
          <cell r="F18" t="str">
            <v>Dona Ana</v>
          </cell>
          <cell r="G18">
            <v>2047994756</v>
          </cell>
          <cell r="H18">
            <v>1078944679</v>
          </cell>
          <cell r="I18">
            <v>0</v>
          </cell>
          <cell r="J18">
            <v>3126939435</v>
          </cell>
          <cell r="L18">
            <v>51722008.115725003</v>
          </cell>
          <cell r="M18">
            <v>33650021.762578502</v>
          </cell>
          <cell r="N18">
            <v>0</v>
          </cell>
          <cell r="O18">
            <v>85372029.878303498</v>
          </cell>
        </row>
        <row r="19">
          <cell r="F19" t="str">
            <v>Eddy</v>
          </cell>
          <cell r="G19">
            <v>361347727</v>
          </cell>
          <cell r="H19">
            <v>616540740</v>
          </cell>
          <cell r="I19">
            <v>1586831998</v>
          </cell>
          <cell r="J19">
            <v>2564720465</v>
          </cell>
          <cell r="L19">
            <v>7217416.0829695007</v>
          </cell>
          <cell r="M19">
            <v>12192505.922683999</v>
          </cell>
          <cell r="N19">
            <v>29151497.416448001</v>
          </cell>
          <cell r="O19">
            <v>48561419.422101498</v>
          </cell>
        </row>
        <row r="20">
          <cell r="F20" t="str">
            <v>Grant</v>
          </cell>
          <cell r="G20">
            <v>319356167</v>
          </cell>
          <cell r="H20">
            <v>164773920</v>
          </cell>
          <cell r="I20">
            <v>133262387</v>
          </cell>
          <cell r="J20">
            <v>617392474</v>
          </cell>
          <cell r="L20">
            <v>5370092.7774984995</v>
          </cell>
          <cell r="M20">
            <v>4925966.2568589998</v>
          </cell>
          <cell r="N20">
            <v>1851480.9737844998</v>
          </cell>
          <cell r="O20">
            <v>12147540.008141998</v>
          </cell>
        </row>
        <row r="21">
          <cell r="F21" t="str">
            <v>Guadalupe</v>
          </cell>
          <cell r="G21">
            <v>24667289</v>
          </cell>
          <cell r="H21">
            <v>71497427</v>
          </cell>
          <cell r="I21">
            <v>0</v>
          </cell>
          <cell r="J21">
            <v>96164716</v>
          </cell>
          <cell r="L21">
            <v>691613.40366449999</v>
          </cell>
          <cell r="M21">
            <v>2233446.6012545</v>
          </cell>
          <cell r="N21">
            <v>0</v>
          </cell>
          <cell r="O21">
            <v>2925060.004919</v>
          </cell>
        </row>
        <row r="22">
          <cell r="F22" t="str">
            <v>Harding</v>
          </cell>
          <cell r="G22">
            <v>3825735</v>
          </cell>
          <cell r="H22">
            <v>20673033</v>
          </cell>
          <cell r="I22">
            <v>12928315</v>
          </cell>
          <cell r="J22">
            <v>37427083</v>
          </cell>
          <cell r="L22">
            <v>76303.804070499988</v>
          </cell>
          <cell r="M22">
            <v>432398.69247750001</v>
          </cell>
          <cell r="N22">
            <v>264695.5684315</v>
          </cell>
          <cell r="O22">
            <v>773398.0649794999</v>
          </cell>
        </row>
        <row r="23">
          <cell r="F23" t="str">
            <v>Hidalgo</v>
          </cell>
          <cell r="G23">
            <v>19376890</v>
          </cell>
          <cell r="H23">
            <v>114935750</v>
          </cell>
          <cell r="I23">
            <v>0</v>
          </cell>
          <cell r="J23">
            <v>134312640</v>
          </cell>
          <cell r="L23">
            <v>418686.16086700006</v>
          </cell>
          <cell r="M23">
            <v>2484186.3441099999</v>
          </cell>
          <cell r="N23">
            <v>0</v>
          </cell>
          <cell r="O23">
            <v>2902872.5049769999</v>
          </cell>
        </row>
        <row r="24">
          <cell r="F24" t="str">
            <v>Lea</v>
          </cell>
          <cell r="G24">
            <v>443977548</v>
          </cell>
          <cell r="H24">
            <v>425545587</v>
          </cell>
          <cell r="I24">
            <v>1826972760</v>
          </cell>
          <cell r="J24">
            <v>2696495895</v>
          </cell>
          <cell r="L24">
            <v>7444805.7259520004</v>
          </cell>
          <cell r="M24">
            <v>11525657.7537305</v>
          </cell>
          <cell r="N24">
            <v>50338941.140263006</v>
          </cell>
          <cell r="O24">
            <v>69309404.619945511</v>
          </cell>
        </row>
        <row r="25">
          <cell r="F25" t="str">
            <v>Lincoln</v>
          </cell>
          <cell r="G25">
            <v>596722602</v>
          </cell>
          <cell r="H25">
            <v>222011260</v>
          </cell>
          <cell r="I25">
            <v>0</v>
          </cell>
          <cell r="J25">
            <v>818733862</v>
          </cell>
          <cell r="L25">
            <v>12878271.686062999</v>
          </cell>
          <cell r="M25">
            <v>5894621.8433855008</v>
          </cell>
          <cell r="N25">
            <v>0</v>
          </cell>
          <cell r="O25">
            <v>18772893.529448502</v>
          </cell>
        </row>
        <row r="26">
          <cell r="F26" t="str">
            <v>Los Alamos</v>
          </cell>
          <cell r="G26">
            <v>622840580</v>
          </cell>
          <cell r="H26">
            <v>101288337</v>
          </cell>
          <cell r="I26">
            <v>0</v>
          </cell>
          <cell r="J26">
            <v>724128917</v>
          </cell>
          <cell r="L26">
            <v>10270329.74391</v>
          </cell>
          <cell r="M26">
            <v>2116369.1574465004</v>
          </cell>
          <cell r="N26">
            <v>0</v>
          </cell>
          <cell r="O26">
            <v>12386698.9013565</v>
          </cell>
        </row>
        <row r="27">
          <cell r="F27" t="str">
            <v>Luna</v>
          </cell>
          <cell r="G27">
            <v>186744286</v>
          </cell>
          <cell r="H27">
            <v>240561610</v>
          </cell>
          <cell r="I27">
            <v>0</v>
          </cell>
          <cell r="J27">
            <v>427305896</v>
          </cell>
          <cell r="L27">
            <v>3442359.0290799998</v>
          </cell>
          <cell r="M27">
            <v>5127106.859455999</v>
          </cell>
          <cell r="N27">
            <v>0</v>
          </cell>
          <cell r="O27">
            <v>8569465.8885359988</v>
          </cell>
        </row>
        <row r="28">
          <cell r="F28" t="str">
            <v>McKinley</v>
          </cell>
          <cell r="G28">
            <v>235968181</v>
          </cell>
          <cell r="H28">
            <v>443385499</v>
          </cell>
          <cell r="I28">
            <v>130438.74</v>
          </cell>
          <cell r="J28">
            <v>679484118.74000001</v>
          </cell>
          <cell r="L28">
            <v>7141569.1899265004</v>
          </cell>
          <cell r="M28">
            <v>15535942.778165499</v>
          </cell>
          <cell r="N28">
            <v>4140.4517044499999</v>
          </cell>
          <cell r="O28">
            <v>22681652.419796448</v>
          </cell>
        </row>
        <row r="29">
          <cell r="F29" t="str">
            <v>Mora</v>
          </cell>
          <cell r="G29">
            <v>46287728</v>
          </cell>
          <cell r="H29">
            <v>34130427</v>
          </cell>
          <cell r="I29">
            <v>0</v>
          </cell>
          <cell r="J29">
            <v>80418155</v>
          </cell>
          <cell r="L29">
            <v>942353.24710499984</v>
          </cell>
          <cell r="M29">
            <v>851534.13614150009</v>
          </cell>
          <cell r="N29">
            <v>0</v>
          </cell>
          <cell r="O29">
            <v>1793887.3832465</v>
          </cell>
        </row>
        <row r="30">
          <cell r="F30" t="str">
            <v>Otero</v>
          </cell>
          <cell r="G30">
            <v>538950160</v>
          </cell>
          <cell r="H30">
            <v>239933786</v>
          </cell>
          <cell r="I30">
            <v>0</v>
          </cell>
          <cell r="J30">
            <v>778883946</v>
          </cell>
          <cell r="L30">
            <v>12570089.107870001</v>
          </cell>
          <cell r="M30">
            <v>6893129.3480789997</v>
          </cell>
          <cell r="N30">
            <v>0</v>
          </cell>
          <cell r="O30">
            <v>19463218.455949001</v>
          </cell>
        </row>
        <row r="31">
          <cell r="F31" t="str">
            <v>Quay</v>
          </cell>
          <cell r="G31">
            <v>62484755</v>
          </cell>
          <cell r="H31">
            <v>72471745</v>
          </cell>
          <cell r="I31">
            <v>2151619</v>
          </cell>
          <cell r="J31">
            <v>137108119</v>
          </cell>
          <cell r="L31">
            <v>1190558.7858805</v>
          </cell>
          <cell r="M31">
            <v>1864672.5205544999</v>
          </cell>
          <cell r="N31">
            <v>41045.359853499991</v>
          </cell>
          <cell r="O31">
            <v>3096276.6662884997</v>
          </cell>
        </row>
        <row r="32">
          <cell r="F32" t="str">
            <v>Rio Arriba</v>
          </cell>
          <cell r="G32">
            <v>368355524</v>
          </cell>
          <cell r="H32">
            <v>265471475</v>
          </cell>
          <cell r="I32">
            <v>1197713612</v>
          </cell>
          <cell r="J32">
            <v>1831540611</v>
          </cell>
          <cell r="L32">
            <v>5722297.8031470003</v>
          </cell>
          <cell r="M32">
            <v>6025859.8138224995</v>
          </cell>
          <cell r="N32">
            <v>26623208.899418</v>
          </cell>
          <cell r="O32">
            <v>38371366.5163875</v>
          </cell>
        </row>
        <row r="33">
          <cell r="F33" t="str">
            <v>Roosevelt</v>
          </cell>
          <cell r="G33">
            <v>104965443</v>
          </cell>
          <cell r="H33">
            <v>142596740</v>
          </cell>
          <cell r="I33">
            <v>19614143</v>
          </cell>
          <cell r="J33">
            <v>267176326</v>
          </cell>
          <cell r="L33">
            <v>2383222.2774435007</v>
          </cell>
          <cell r="M33">
            <v>2977438.7275959994</v>
          </cell>
          <cell r="N33">
            <v>350550.42165649997</v>
          </cell>
          <cell r="O33">
            <v>5711211.4266960006</v>
          </cell>
        </row>
        <row r="34">
          <cell r="F34" t="str">
            <v>San Juan</v>
          </cell>
          <cell r="G34">
            <v>933067914</v>
          </cell>
          <cell r="H34">
            <v>1453994097</v>
          </cell>
          <cell r="I34">
            <v>1870282236</v>
          </cell>
          <cell r="J34">
            <v>4257344247</v>
          </cell>
          <cell r="L34">
            <v>20147939.347966999</v>
          </cell>
          <cell r="M34">
            <v>35371168.220027491</v>
          </cell>
          <cell r="N34">
            <v>40570790.424575999</v>
          </cell>
          <cell r="O34">
            <v>96089897.99257049</v>
          </cell>
        </row>
        <row r="35">
          <cell r="F35" t="str">
            <v>San Miguel</v>
          </cell>
          <cell r="G35">
            <v>291786686</v>
          </cell>
          <cell r="H35">
            <v>143041056</v>
          </cell>
          <cell r="I35">
            <v>0</v>
          </cell>
          <cell r="J35">
            <v>434827742</v>
          </cell>
          <cell r="L35">
            <v>6055312.1792805018</v>
          </cell>
          <cell r="M35">
            <v>4148951.3309875</v>
          </cell>
          <cell r="N35">
            <v>0</v>
          </cell>
          <cell r="O35">
            <v>10204263.510268003</v>
          </cell>
        </row>
        <row r="36">
          <cell r="F36" t="str">
            <v>Sandoval</v>
          </cell>
          <cell r="G36">
            <v>2001646645</v>
          </cell>
          <cell r="H36">
            <v>861173262</v>
          </cell>
          <cell r="I36">
            <v>6900624</v>
          </cell>
          <cell r="J36">
            <v>2869720531</v>
          </cell>
          <cell r="L36">
            <v>52270707.128214501</v>
          </cell>
          <cell r="M36">
            <v>20204466.456171006</v>
          </cell>
          <cell r="N36">
            <v>172318.93221599999</v>
          </cell>
          <cell r="O36">
            <v>72647492.516601503</v>
          </cell>
        </row>
        <row r="37">
          <cell r="F37" t="str">
            <v>Santa Fe</v>
          </cell>
          <cell r="G37">
            <v>4477871022</v>
          </cell>
          <cell r="H37">
            <v>1597019728</v>
          </cell>
          <cell r="I37">
            <v>0</v>
          </cell>
          <cell r="J37">
            <v>6074890750</v>
          </cell>
          <cell r="L37">
            <v>80989042.397963017</v>
          </cell>
          <cell r="M37">
            <v>40430758.775334001</v>
          </cell>
          <cell r="N37">
            <v>0</v>
          </cell>
          <cell r="O37">
            <v>121419801.17329702</v>
          </cell>
        </row>
        <row r="38">
          <cell r="F38" t="str">
            <v>Sierra</v>
          </cell>
          <cell r="G38">
            <v>131304605</v>
          </cell>
          <cell r="H38">
            <v>90339949</v>
          </cell>
          <cell r="I38">
            <v>0</v>
          </cell>
          <cell r="J38">
            <v>221644554</v>
          </cell>
          <cell r="L38">
            <v>2849956.6579135</v>
          </cell>
          <cell r="M38">
            <v>2193641.6177464998</v>
          </cell>
          <cell r="N38">
            <v>0</v>
          </cell>
          <cell r="O38">
            <v>5043598.2756599998</v>
          </cell>
        </row>
        <row r="39">
          <cell r="F39" t="str">
            <v>Socorro</v>
          </cell>
          <cell r="G39">
            <v>110390580</v>
          </cell>
          <cell r="H39">
            <v>97700559</v>
          </cell>
          <cell r="I39">
            <v>0</v>
          </cell>
          <cell r="J39">
            <v>208091139</v>
          </cell>
          <cell r="L39">
            <v>3019102.2938740002</v>
          </cell>
          <cell r="M39">
            <v>3044988.9596025003</v>
          </cell>
          <cell r="N39">
            <v>0</v>
          </cell>
          <cell r="O39">
            <v>6064091.2534765005</v>
          </cell>
        </row>
        <row r="40">
          <cell r="F40" t="str">
            <v>Taos</v>
          </cell>
          <cell r="G40">
            <v>663888261</v>
          </cell>
          <cell r="H40">
            <v>399744369</v>
          </cell>
          <cell r="I40">
            <v>0</v>
          </cell>
          <cell r="J40">
            <v>1063632630</v>
          </cell>
          <cell r="L40">
            <v>8502257.5050425008</v>
          </cell>
          <cell r="M40">
            <v>7118469.3811064996</v>
          </cell>
          <cell r="N40">
            <v>0</v>
          </cell>
          <cell r="O40">
            <v>15620726.886149</v>
          </cell>
        </row>
        <row r="41">
          <cell r="F41" t="str">
            <v>Torrance</v>
          </cell>
          <cell r="G41">
            <v>127918330</v>
          </cell>
          <cell r="H41">
            <v>161444611</v>
          </cell>
          <cell r="I41">
            <v>0</v>
          </cell>
          <cell r="J41">
            <v>289362941</v>
          </cell>
          <cell r="L41">
            <v>2922004.6479749996</v>
          </cell>
          <cell r="M41">
            <v>3659140.8387355004</v>
          </cell>
          <cell r="N41">
            <v>0</v>
          </cell>
          <cell r="O41">
            <v>6581145.4867105</v>
          </cell>
        </row>
        <row r="42">
          <cell r="F42" t="str">
            <v>Union</v>
          </cell>
          <cell r="G42">
            <v>26432656</v>
          </cell>
          <cell r="H42">
            <v>79404612</v>
          </cell>
          <cell r="I42">
            <v>15359896</v>
          </cell>
          <cell r="J42">
            <v>121197164</v>
          </cell>
          <cell r="L42">
            <v>587671.11551799998</v>
          </cell>
          <cell r="M42">
            <v>1850739.8500370001</v>
          </cell>
          <cell r="N42">
            <v>308634.07027600001</v>
          </cell>
          <cell r="O42">
            <v>2747045.0358310002</v>
          </cell>
        </row>
        <row r="43">
          <cell r="F43" t="str">
            <v>Valencia</v>
          </cell>
          <cell r="G43">
            <v>696322888</v>
          </cell>
          <cell r="H43">
            <v>283174480</v>
          </cell>
          <cell r="I43">
            <v>0</v>
          </cell>
          <cell r="J43">
            <v>979497368</v>
          </cell>
          <cell r="L43">
            <v>19920989.199531998</v>
          </cell>
          <cell r="M43">
            <v>9862893.5682969987</v>
          </cell>
          <cell r="N43">
            <v>0</v>
          </cell>
          <cell r="O43">
            <v>29783882.767828997</v>
          </cell>
        </row>
        <row r="44">
          <cell r="F44" t="str">
            <v xml:space="preserve">  Totals</v>
          </cell>
          <cell r="G44">
            <v>25892232470</v>
          </cell>
          <cell r="H44">
            <v>14170498032</v>
          </cell>
          <cell r="I44">
            <v>6855804716.7399998</v>
          </cell>
          <cell r="J44">
            <v>46918535218.740005</v>
          </cell>
          <cell r="L44">
            <v>697012654.03030348</v>
          </cell>
          <cell r="M44">
            <v>429886860.21873581</v>
          </cell>
          <cell r="N44">
            <v>153650763.48384044</v>
          </cell>
          <cell r="O44">
            <v>1280550277.7328796</v>
          </cell>
        </row>
        <row r="45">
          <cell r="F45" t="str">
            <v xml:space="preserve">  % of Total</v>
          </cell>
        </row>
      </sheetData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5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6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www.census.gov/data/tables/time-series/demo/popest/2020s-counties-total.html" TargetMode="External"/><Relationship Id="rId1" Type="http://schemas.openxmlformats.org/officeDocument/2006/relationships/hyperlink" Target="https://www.census.gov/data/tables/time-series/demo/popest/2020s-counties-total.html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tabColor rgb="FF00B050"/>
    <pageSetUpPr fitToPage="1"/>
  </sheetPr>
  <dimension ref="A1:K125"/>
  <sheetViews>
    <sheetView showGridLines="0" showZeros="0" tabSelected="1" zoomScale="90" zoomScaleNormal="90" workbookViewId="0"/>
  </sheetViews>
  <sheetFormatPr defaultRowHeight="12.75" x14ac:dyDescent="0.2"/>
  <cols>
    <col min="1" max="1" width="13.140625" customWidth="1"/>
    <col min="2" max="2" width="20.140625" customWidth="1"/>
    <col min="3" max="4" width="19.42578125" customWidth="1"/>
    <col min="5" max="5" width="19.5703125" customWidth="1"/>
    <col min="6" max="6" width="19.7109375" customWidth="1"/>
    <col min="7" max="7" width="18.140625" customWidth="1"/>
    <col min="8" max="8" width="20" customWidth="1"/>
    <col min="10" max="10" width="12.85546875" customWidth="1"/>
    <col min="11" max="13" width="19.42578125" customWidth="1"/>
    <col min="14" max="16" width="21.140625" customWidth="1"/>
  </cols>
  <sheetData>
    <row r="1" spans="1:11" ht="20.25" x14ac:dyDescent="0.3">
      <c r="A1" s="97" t="s">
        <v>437</v>
      </c>
      <c r="B1" s="19"/>
      <c r="C1" s="6"/>
      <c r="D1" s="6"/>
      <c r="E1" s="6"/>
      <c r="F1" s="6"/>
      <c r="G1" s="6"/>
      <c r="H1" s="6"/>
    </row>
    <row r="2" spans="1:11" ht="20.25" x14ac:dyDescent="0.3">
      <c r="A2" s="98" t="s">
        <v>491</v>
      </c>
      <c r="B2" s="19"/>
      <c r="C2" s="500" t="s">
        <v>568</v>
      </c>
      <c r="D2" s="6"/>
      <c r="E2" s="6"/>
      <c r="F2" s="6"/>
      <c r="G2" s="6"/>
      <c r="H2" s="6"/>
    </row>
    <row r="3" spans="1:11" x14ac:dyDescent="0.2">
      <c r="A3" s="6"/>
      <c r="B3" s="19"/>
      <c r="C3" s="6"/>
      <c r="D3" s="6"/>
      <c r="E3" s="6"/>
      <c r="F3" s="6"/>
      <c r="G3" s="6"/>
      <c r="H3" s="6"/>
    </row>
    <row r="4" spans="1:11" ht="20.25" customHeight="1" x14ac:dyDescent="0.3">
      <c r="A4" s="98" t="s">
        <v>385</v>
      </c>
      <c r="B4" s="19"/>
      <c r="C4" s="6"/>
      <c r="D4" s="6"/>
      <c r="E4" s="6"/>
      <c r="F4" s="6"/>
      <c r="G4" s="20"/>
      <c r="H4" s="6"/>
      <c r="K4" s="71"/>
    </row>
    <row r="5" spans="1:11" ht="20.25" customHeight="1" x14ac:dyDescent="0.3">
      <c r="A5" s="98" t="s">
        <v>479</v>
      </c>
      <c r="B5" s="6"/>
      <c r="C5" s="6"/>
      <c r="D5" s="6"/>
      <c r="E5" s="6"/>
      <c r="F5" s="6"/>
      <c r="G5" s="364" t="str">
        <f>$C$2</f>
        <v>2025 Tax Year</v>
      </c>
    </row>
    <row r="6" spans="1:11" x14ac:dyDescent="0.2">
      <c r="A6" s="6"/>
      <c r="B6" s="6"/>
      <c r="C6" s="6"/>
      <c r="D6" s="6"/>
      <c r="E6" s="6"/>
      <c r="F6" s="6"/>
      <c r="G6" s="6"/>
      <c r="H6" s="6"/>
    </row>
    <row r="7" spans="1:11" ht="15" x14ac:dyDescent="0.2">
      <c r="A7" s="6"/>
      <c r="B7" s="21"/>
      <c r="C7" s="22"/>
      <c r="D7" s="21"/>
      <c r="E7" s="21"/>
      <c r="F7" s="13" t="s">
        <v>4</v>
      </c>
      <c r="G7" s="21"/>
      <c r="H7" s="21"/>
    </row>
    <row r="8" spans="1:11" ht="15.75" thickBot="1" x14ac:dyDescent="0.25">
      <c r="A8" s="14" t="s">
        <v>27</v>
      </c>
      <c r="B8" s="15" t="s">
        <v>8</v>
      </c>
      <c r="C8" s="16" t="s">
        <v>9</v>
      </c>
      <c r="D8" s="15" t="s">
        <v>28</v>
      </c>
      <c r="E8" s="15" t="s">
        <v>29</v>
      </c>
      <c r="F8" s="16" t="s">
        <v>30</v>
      </c>
      <c r="G8" s="15" t="s">
        <v>10</v>
      </c>
      <c r="H8" s="15" t="s">
        <v>29</v>
      </c>
    </row>
    <row r="9" spans="1:11" ht="15" x14ac:dyDescent="0.2">
      <c r="A9" s="17" t="s">
        <v>31</v>
      </c>
      <c r="B9" s="236">
        <f>E9+H9</f>
        <v>22638884366</v>
      </c>
      <c r="C9" s="237">
        <v>17462777748</v>
      </c>
      <c r="D9" s="236">
        <v>5176106618</v>
      </c>
      <c r="E9" s="236">
        <f>C9+D9</f>
        <v>22638884366</v>
      </c>
      <c r="F9" s="237"/>
      <c r="G9" s="236"/>
      <c r="H9" s="236">
        <v>0</v>
      </c>
    </row>
    <row r="10" spans="1:11" ht="15" x14ac:dyDescent="0.2">
      <c r="A10" s="2" t="s">
        <v>32</v>
      </c>
      <c r="B10" s="234">
        <f t="shared" ref="B10:B41" si="0">E10+H10</f>
        <v>171360670</v>
      </c>
      <c r="C10" s="235">
        <v>67582263</v>
      </c>
      <c r="D10" s="234">
        <v>103778407</v>
      </c>
      <c r="E10" s="234">
        <f t="shared" ref="E10:E41" si="1">C10+D10</f>
        <v>171360670</v>
      </c>
      <c r="F10" s="235"/>
      <c r="G10" s="234"/>
      <c r="H10" s="234">
        <v>0</v>
      </c>
    </row>
    <row r="11" spans="1:11" ht="15" x14ac:dyDescent="0.2">
      <c r="A11" s="17" t="s">
        <v>33</v>
      </c>
      <c r="B11" s="236">
        <f t="shared" si="0"/>
        <v>1700651171.6199999</v>
      </c>
      <c r="C11" s="237">
        <v>911426168</v>
      </c>
      <c r="D11" s="236">
        <v>695040367</v>
      </c>
      <c r="E11" s="236">
        <f t="shared" si="1"/>
        <v>1606466535</v>
      </c>
      <c r="F11" s="237">
        <v>76626180.179999992</v>
      </c>
      <c r="G11" s="236">
        <v>17558456.440000001</v>
      </c>
      <c r="H11" s="236">
        <f>F11+G11</f>
        <v>94184636.61999999</v>
      </c>
    </row>
    <row r="12" spans="1:11" ht="15" x14ac:dyDescent="0.2">
      <c r="A12" s="2" t="s">
        <v>34</v>
      </c>
      <c r="B12" s="234">
        <f t="shared" si="0"/>
        <v>418940480</v>
      </c>
      <c r="C12" s="235">
        <v>184629983</v>
      </c>
      <c r="D12" s="234">
        <v>234310497</v>
      </c>
      <c r="E12" s="234">
        <f t="shared" si="1"/>
        <v>418940480</v>
      </c>
      <c r="F12" s="235"/>
      <c r="G12" s="234"/>
      <c r="H12" s="234">
        <v>0</v>
      </c>
    </row>
    <row r="13" spans="1:11" ht="15" x14ac:dyDescent="0.2">
      <c r="A13" s="17" t="s">
        <v>35</v>
      </c>
      <c r="B13" s="236">
        <f t="shared" si="0"/>
        <v>775786148.89999998</v>
      </c>
      <c r="C13" s="237">
        <v>534568868</v>
      </c>
      <c r="D13" s="236">
        <v>227768522</v>
      </c>
      <c r="E13" s="236">
        <f t="shared" si="1"/>
        <v>762337390</v>
      </c>
      <c r="F13" s="237">
        <v>11096044.119999999</v>
      </c>
      <c r="G13" s="236">
        <v>2352714.7800000003</v>
      </c>
      <c r="H13" s="236">
        <f>F13+G13</f>
        <v>13448758.899999999</v>
      </c>
    </row>
    <row r="14" spans="1:11" ht="15" x14ac:dyDescent="0.2">
      <c r="A14" s="2" t="s">
        <v>36</v>
      </c>
      <c r="B14" s="234">
        <f t="shared" si="0"/>
        <v>1232672967</v>
      </c>
      <c r="C14" s="235">
        <v>743635333</v>
      </c>
      <c r="D14" s="234">
        <v>489037634</v>
      </c>
      <c r="E14" s="234">
        <f t="shared" si="1"/>
        <v>1232672967</v>
      </c>
      <c r="F14" s="235"/>
      <c r="G14" s="234"/>
      <c r="H14" s="234">
        <v>0</v>
      </c>
    </row>
    <row r="15" spans="1:11" ht="15" x14ac:dyDescent="0.2">
      <c r="A15" s="17" t="s">
        <v>67</v>
      </c>
      <c r="B15" s="236">
        <f t="shared" si="0"/>
        <v>108012441</v>
      </c>
      <c r="C15" s="237">
        <v>20854676</v>
      </c>
      <c r="D15" s="236">
        <v>87157765</v>
      </c>
      <c r="E15" s="236">
        <f t="shared" si="1"/>
        <v>108012441</v>
      </c>
      <c r="F15" s="237"/>
      <c r="G15" s="236"/>
      <c r="H15" s="236">
        <v>0</v>
      </c>
    </row>
    <row r="16" spans="1:11" ht="15" x14ac:dyDescent="0.2">
      <c r="A16" s="2" t="s">
        <v>37</v>
      </c>
      <c r="B16" s="234">
        <f t="shared" si="0"/>
        <v>6336592781</v>
      </c>
      <c r="C16" s="235">
        <v>4674268071</v>
      </c>
      <c r="D16" s="234">
        <v>1662324710</v>
      </c>
      <c r="E16" s="234">
        <f t="shared" si="1"/>
        <v>6336592781</v>
      </c>
      <c r="F16" s="235"/>
      <c r="G16" s="234"/>
      <c r="H16" s="234">
        <v>0</v>
      </c>
    </row>
    <row r="17" spans="1:11" ht="15" x14ac:dyDescent="0.2">
      <c r="A17" s="17" t="s">
        <v>38</v>
      </c>
      <c r="B17" s="236">
        <f t="shared" si="0"/>
        <v>19231451836.360001</v>
      </c>
      <c r="C17" s="237">
        <v>1121167985</v>
      </c>
      <c r="D17" s="236">
        <v>3720260961</v>
      </c>
      <c r="E17" s="236">
        <f t="shared" si="1"/>
        <v>4841428946</v>
      </c>
      <c r="F17" s="237">
        <v>11720423169.179998</v>
      </c>
      <c r="G17" s="236">
        <v>2669599721.1799998</v>
      </c>
      <c r="H17" s="236">
        <f>F17+G17</f>
        <v>14390022890.359999</v>
      </c>
    </row>
    <row r="18" spans="1:11" ht="15" x14ac:dyDescent="0.2">
      <c r="A18" s="2" t="s">
        <v>39</v>
      </c>
      <c r="B18" s="234">
        <f>E18+H18</f>
        <v>917257849</v>
      </c>
      <c r="C18" s="235">
        <v>504251325</v>
      </c>
      <c r="D18" s="234">
        <v>243160427</v>
      </c>
      <c r="E18" s="234">
        <f t="shared" si="1"/>
        <v>747411752</v>
      </c>
      <c r="F18" s="235">
        <v>169846097</v>
      </c>
      <c r="G18" s="234"/>
      <c r="H18" s="471">
        <f>F18+G18</f>
        <v>169846097</v>
      </c>
    </row>
    <row r="19" spans="1:11" ht="15" x14ac:dyDescent="0.2">
      <c r="A19" s="17" t="s">
        <v>40</v>
      </c>
      <c r="B19" s="236">
        <f t="shared" si="0"/>
        <v>209790265</v>
      </c>
      <c r="C19" s="237">
        <v>45228146</v>
      </c>
      <c r="D19" s="236">
        <v>164562119</v>
      </c>
      <c r="E19" s="236">
        <f t="shared" si="1"/>
        <v>209790265</v>
      </c>
      <c r="F19" s="237"/>
      <c r="G19" s="236"/>
      <c r="H19" s="236">
        <v>0</v>
      </c>
      <c r="K19" s="123"/>
    </row>
    <row r="20" spans="1:11" ht="15" x14ac:dyDescent="0.2">
      <c r="A20" s="2" t="s">
        <v>41</v>
      </c>
      <c r="B20" s="234">
        <f t="shared" si="0"/>
        <v>75627908.969999999</v>
      </c>
      <c r="C20" s="235">
        <v>6477704</v>
      </c>
      <c r="D20" s="234">
        <v>54766496</v>
      </c>
      <c r="E20" s="234">
        <f t="shared" si="1"/>
        <v>61244200</v>
      </c>
      <c r="F20" s="235">
        <v>11848558.77</v>
      </c>
      <c r="G20" s="234">
        <v>2535150.2000000002</v>
      </c>
      <c r="H20" s="234">
        <f>F20+G20</f>
        <v>14383708.969999999</v>
      </c>
    </row>
    <row r="21" spans="1:11" ht="15" x14ac:dyDescent="0.2">
      <c r="A21" s="17" t="s">
        <v>42</v>
      </c>
      <c r="B21" s="236">
        <f t="shared" si="0"/>
        <v>195372050</v>
      </c>
      <c r="C21" s="237">
        <v>30843097</v>
      </c>
      <c r="D21" s="236">
        <v>164528953</v>
      </c>
      <c r="E21" s="236">
        <f t="shared" si="1"/>
        <v>195372050</v>
      </c>
      <c r="F21" s="237"/>
      <c r="G21" s="236"/>
      <c r="H21" s="236">
        <v>0</v>
      </c>
    </row>
    <row r="22" spans="1:11" ht="15" x14ac:dyDescent="0.2">
      <c r="A22" s="2" t="s">
        <v>43</v>
      </c>
      <c r="B22" s="234">
        <f t="shared" si="0"/>
        <v>22892061991.169998</v>
      </c>
      <c r="C22" s="235">
        <v>933799609</v>
      </c>
      <c r="D22" s="234">
        <v>2985247914</v>
      </c>
      <c r="E22" s="234">
        <f t="shared" si="1"/>
        <v>3919047523</v>
      </c>
      <c r="F22" s="235">
        <v>15388373331.059999</v>
      </c>
      <c r="G22" s="234">
        <v>3584641137.1100001</v>
      </c>
      <c r="H22" s="234">
        <f>F22+G22</f>
        <v>18973014468.169998</v>
      </c>
    </row>
    <row r="23" spans="1:11" ht="15" x14ac:dyDescent="0.2">
      <c r="A23" s="17" t="s">
        <v>44</v>
      </c>
      <c r="B23" s="236">
        <f t="shared" si="0"/>
        <v>1722294865</v>
      </c>
      <c r="C23" s="237">
        <v>1172919124</v>
      </c>
      <c r="D23" s="236">
        <v>549375741</v>
      </c>
      <c r="E23" s="236">
        <f t="shared" si="1"/>
        <v>1722294865</v>
      </c>
      <c r="F23" s="237"/>
      <c r="G23" s="236"/>
      <c r="H23" s="236">
        <v>0</v>
      </c>
    </row>
    <row r="24" spans="1:11" ht="15" x14ac:dyDescent="0.2">
      <c r="A24" s="2" t="s">
        <v>45</v>
      </c>
      <c r="B24" s="234">
        <f t="shared" si="0"/>
        <v>1105538877</v>
      </c>
      <c r="C24" s="235">
        <v>978207900</v>
      </c>
      <c r="D24" s="234">
        <v>127330977</v>
      </c>
      <c r="E24" s="234">
        <f t="shared" si="1"/>
        <v>1105538877</v>
      </c>
      <c r="F24" s="235"/>
      <c r="G24" s="234"/>
      <c r="H24" s="234">
        <v>0</v>
      </c>
    </row>
    <row r="25" spans="1:11" ht="15" x14ac:dyDescent="0.2">
      <c r="A25" s="17" t="s">
        <v>46</v>
      </c>
      <c r="B25" s="236">
        <f t="shared" si="0"/>
        <v>709756727</v>
      </c>
      <c r="C25" s="237">
        <v>306333270</v>
      </c>
      <c r="D25" s="236">
        <v>403423457</v>
      </c>
      <c r="E25" s="236">
        <f t="shared" si="1"/>
        <v>709756727</v>
      </c>
      <c r="F25" s="237"/>
      <c r="G25" s="236"/>
      <c r="H25" s="236">
        <v>0</v>
      </c>
    </row>
    <row r="26" spans="1:11" ht="15" x14ac:dyDescent="0.2">
      <c r="A26" s="2" t="s">
        <v>47</v>
      </c>
      <c r="B26" s="234">
        <f t="shared" si="0"/>
        <v>740474224.12</v>
      </c>
      <c r="C26" s="235">
        <v>303182365</v>
      </c>
      <c r="D26" s="234">
        <v>437259815</v>
      </c>
      <c r="E26" s="234">
        <f t="shared" si="1"/>
        <v>740442180</v>
      </c>
      <c r="F26" s="235">
        <v>25955.89</v>
      </c>
      <c r="G26" s="234">
        <v>6088.23</v>
      </c>
      <c r="H26" s="234">
        <f>F26+G26</f>
        <v>32044.12</v>
      </c>
    </row>
    <row r="27" spans="1:11" ht="15" x14ac:dyDescent="0.2">
      <c r="A27" s="17" t="s">
        <v>48</v>
      </c>
      <c r="B27" s="236">
        <f t="shared" si="0"/>
        <v>177843626</v>
      </c>
      <c r="C27" s="237">
        <v>96959298</v>
      </c>
      <c r="D27" s="236">
        <v>80884328</v>
      </c>
      <c r="E27" s="236">
        <f t="shared" si="1"/>
        <v>177843626</v>
      </c>
      <c r="F27" s="237"/>
      <c r="G27" s="236"/>
      <c r="H27" s="236">
        <v>0</v>
      </c>
    </row>
    <row r="28" spans="1:11" ht="15" x14ac:dyDescent="0.2">
      <c r="A28" s="2" t="s">
        <v>49</v>
      </c>
      <c r="B28" s="234">
        <f t="shared" si="0"/>
        <v>1619745376</v>
      </c>
      <c r="C28" s="235">
        <v>1108683879</v>
      </c>
      <c r="D28" s="234">
        <v>511061497</v>
      </c>
      <c r="E28" s="234">
        <f t="shared" si="1"/>
        <v>1619745376</v>
      </c>
      <c r="F28" s="235"/>
      <c r="G28" s="234"/>
      <c r="H28" s="234">
        <v>0</v>
      </c>
    </row>
    <row r="29" spans="1:11" ht="15" x14ac:dyDescent="0.2">
      <c r="A29" s="17" t="s">
        <v>50</v>
      </c>
      <c r="B29" s="236">
        <f t="shared" si="0"/>
        <v>282371458.57999998</v>
      </c>
      <c r="C29" s="237">
        <v>102817775</v>
      </c>
      <c r="D29" s="236">
        <v>178701381</v>
      </c>
      <c r="E29" s="236">
        <f t="shared" si="1"/>
        <v>281519156</v>
      </c>
      <c r="F29" s="237">
        <v>690073.51</v>
      </c>
      <c r="G29" s="236">
        <v>162229.07</v>
      </c>
      <c r="H29" s="236">
        <f>F29+G29</f>
        <v>852302.58000000007</v>
      </c>
    </row>
    <row r="30" spans="1:11" ht="15" x14ac:dyDescent="0.2">
      <c r="A30" s="2" t="s">
        <v>51</v>
      </c>
      <c r="B30" s="234">
        <f t="shared" si="0"/>
        <v>1392711836.8</v>
      </c>
      <c r="C30" s="235">
        <v>662385684</v>
      </c>
      <c r="D30" s="234">
        <v>426706145</v>
      </c>
      <c r="E30" s="234">
        <f t="shared" si="1"/>
        <v>1089091829</v>
      </c>
      <c r="F30" s="235">
        <v>245167000</v>
      </c>
      <c r="G30" s="234">
        <v>58453007.799999997</v>
      </c>
      <c r="H30" s="234">
        <f>F30+G30</f>
        <v>303620007.80000001</v>
      </c>
    </row>
    <row r="31" spans="1:11" ht="15" x14ac:dyDescent="0.2">
      <c r="A31" s="17" t="s">
        <v>52</v>
      </c>
      <c r="B31" s="236">
        <f t="shared" si="0"/>
        <v>700407328.48000002</v>
      </c>
      <c r="C31" s="237">
        <v>231961388</v>
      </c>
      <c r="D31" s="236">
        <v>452814756</v>
      </c>
      <c r="E31" s="236">
        <f t="shared" si="1"/>
        <v>684776144</v>
      </c>
      <c r="F31" s="237">
        <v>12842352.93</v>
      </c>
      <c r="G31" s="236">
        <v>2788831.55</v>
      </c>
      <c r="H31" s="236">
        <f>F31+G31</f>
        <v>15631184.48</v>
      </c>
    </row>
    <row r="32" spans="1:11" ht="15" x14ac:dyDescent="0.2">
      <c r="A32" s="2" t="s">
        <v>53</v>
      </c>
      <c r="B32" s="234">
        <f t="shared" si="0"/>
        <v>4176112641.7599998</v>
      </c>
      <c r="C32" s="235">
        <v>1873873517</v>
      </c>
      <c r="D32" s="234">
        <v>1724187870</v>
      </c>
      <c r="E32" s="234">
        <f t="shared" si="1"/>
        <v>3598061387</v>
      </c>
      <c r="F32" s="235">
        <v>471436845.69999993</v>
      </c>
      <c r="G32" s="234">
        <v>106614409.05999999</v>
      </c>
      <c r="H32" s="234">
        <f>F32+G32</f>
        <v>578051254.75999987</v>
      </c>
    </row>
    <row r="33" spans="1:11" ht="15" x14ac:dyDescent="0.2">
      <c r="A33" s="17" t="s">
        <v>54</v>
      </c>
      <c r="B33" s="236">
        <f t="shared" si="0"/>
        <v>759444627</v>
      </c>
      <c r="C33" s="237">
        <v>507453890</v>
      </c>
      <c r="D33" s="236">
        <v>251990737</v>
      </c>
      <c r="E33" s="236">
        <f t="shared" si="1"/>
        <v>759444627</v>
      </c>
      <c r="F33" s="237"/>
      <c r="G33" s="236"/>
      <c r="H33" s="236">
        <v>0</v>
      </c>
    </row>
    <row r="34" spans="1:11" ht="15" x14ac:dyDescent="0.2">
      <c r="A34" s="2" t="s">
        <v>55</v>
      </c>
      <c r="B34" s="234">
        <f t="shared" si="0"/>
        <v>6233363889.6300001</v>
      </c>
      <c r="C34" s="235">
        <v>4546479951</v>
      </c>
      <c r="D34" s="234">
        <v>1575215177</v>
      </c>
      <c r="E34" s="234">
        <f t="shared" si="1"/>
        <v>6121695128</v>
      </c>
      <c r="F34" s="235">
        <v>90523255.890000001</v>
      </c>
      <c r="G34" s="234">
        <v>21145505.739999998</v>
      </c>
      <c r="H34" s="234">
        <f>F34+G34</f>
        <v>111668761.63</v>
      </c>
    </row>
    <row r="35" spans="1:11" ht="15" x14ac:dyDescent="0.2">
      <c r="A35" s="17" t="s">
        <v>56</v>
      </c>
      <c r="B35" s="236">
        <f t="shared" si="0"/>
        <v>10565830364</v>
      </c>
      <c r="C35" s="237">
        <v>8571174579</v>
      </c>
      <c r="D35" s="236">
        <v>1994655785</v>
      </c>
      <c r="E35" s="236">
        <f t="shared" si="1"/>
        <v>10565830364</v>
      </c>
      <c r="F35" s="237"/>
      <c r="G35" s="236"/>
      <c r="H35" s="236">
        <v>0</v>
      </c>
    </row>
    <row r="36" spans="1:11" ht="15" x14ac:dyDescent="0.2">
      <c r="A36" s="2" t="s">
        <v>57</v>
      </c>
      <c r="B36" s="234">
        <f t="shared" si="0"/>
        <v>375435590</v>
      </c>
      <c r="C36" s="235">
        <v>239846719</v>
      </c>
      <c r="D36" s="234">
        <v>135588871</v>
      </c>
      <c r="E36" s="234">
        <f t="shared" si="1"/>
        <v>375435590</v>
      </c>
      <c r="F36" s="235"/>
      <c r="G36" s="234"/>
      <c r="H36" s="234">
        <v>0</v>
      </c>
    </row>
    <row r="37" spans="1:11" ht="15" x14ac:dyDescent="0.2">
      <c r="A37" s="17" t="s">
        <v>58</v>
      </c>
      <c r="B37" s="236">
        <f t="shared" si="0"/>
        <v>374949464</v>
      </c>
      <c r="C37" s="237">
        <v>189555193</v>
      </c>
      <c r="D37" s="236">
        <v>185394271</v>
      </c>
      <c r="E37" s="236">
        <f t="shared" si="1"/>
        <v>374949464</v>
      </c>
      <c r="F37" s="237"/>
      <c r="G37" s="236"/>
      <c r="H37" s="236">
        <v>0</v>
      </c>
    </row>
    <row r="38" spans="1:11" ht="15" x14ac:dyDescent="0.2">
      <c r="A38" s="2" t="s">
        <v>59</v>
      </c>
      <c r="B38" s="234">
        <f t="shared" si="0"/>
        <v>1878300665</v>
      </c>
      <c r="C38" s="235">
        <v>1213113142</v>
      </c>
      <c r="D38" s="234">
        <v>665187523</v>
      </c>
      <c r="E38" s="234">
        <f t="shared" si="1"/>
        <v>1878300665</v>
      </c>
      <c r="F38" s="235"/>
      <c r="G38" s="234"/>
      <c r="H38" s="234">
        <v>0</v>
      </c>
    </row>
    <row r="39" spans="1:11" ht="15" x14ac:dyDescent="0.2">
      <c r="A39" s="17" t="s">
        <v>60</v>
      </c>
      <c r="B39" s="236">
        <f t="shared" si="0"/>
        <v>592975826</v>
      </c>
      <c r="C39" s="237">
        <v>231592419</v>
      </c>
      <c r="D39" s="236">
        <v>361383407</v>
      </c>
      <c r="E39" s="236">
        <f t="shared" si="1"/>
        <v>592975826</v>
      </c>
      <c r="F39" s="237"/>
      <c r="G39" s="236"/>
      <c r="H39" s="236">
        <v>0</v>
      </c>
    </row>
    <row r="40" spans="1:11" ht="15" x14ac:dyDescent="0.2">
      <c r="A40" s="2" t="s">
        <v>61</v>
      </c>
      <c r="B40" s="234">
        <f t="shared" si="0"/>
        <v>200903875.87</v>
      </c>
      <c r="C40" s="235">
        <v>45674345</v>
      </c>
      <c r="D40" s="234">
        <v>148544965</v>
      </c>
      <c r="E40" s="234">
        <f t="shared" si="1"/>
        <v>194219310</v>
      </c>
      <c r="F40" s="235">
        <v>5474970.5800000001</v>
      </c>
      <c r="G40" s="234">
        <v>1209595.29</v>
      </c>
      <c r="H40" s="234">
        <f>F40+G40</f>
        <v>6684565.8700000001</v>
      </c>
    </row>
    <row r="41" spans="1:11" ht="15" x14ac:dyDescent="0.2">
      <c r="A41" s="17" t="s">
        <v>62</v>
      </c>
      <c r="B41" s="236">
        <f t="shared" si="0"/>
        <v>2244704758</v>
      </c>
      <c r="C41" s="237">
        <v>1531007016</v>
      </c>
      <c r="D41" s="236">
        <v>713697742</v>
      </c>
      <c r="E41" s="236">
        <f t="shared" si="1"/>
        <v>2244704758</v>
      </c>
      <c r="F41" s="237"/>
      <c r="G41" s="236"/>
      <c r="H41" s="236">
        <v>0</v>
      </c>
    </row>
    <row r="42" spans="1:11" ht="15" x14ac:dyDescent="0.2">
      <c r="A42" s="2" t="s">
        <v>63</v>
      </c>
      <c r="B42" s="234">
        <f>SUM(B9:B41)</f>
        <v>112757628946.25999</v>
      </c>
      <c r="C42" s="235">
        <f t="shared" ref="C42:H42" si="2">SUM(C9:C41)</f>
        <v>51154732430</v>
      </c>
      <c r="D42" s="234">
        <f t="shared" si="2"/>
        <v>26931455835</v>
      </c>
      <c r="E42" s="234">
        <f t="shared" si="2"/>
        <v>78086188265</v>
      </c>
      <c r="F42" s="235">
        <f t="shared" si="2"/>
        <v>28204373834.809998</v>
      </c>
      <c r="G42" s="234">
        <f t="shared" si="2"/>
        <v>6467066846.4499989</v>
      </c>
      <c r="H42" s="234">
        <f t="shared" si="2"/>
        <v>34671440681.259995</v>
      </c>
      <c r="J42" s="48"/>
      <c r="K42">
        <f>+F429</f>
        <v>0</v>
      </c>
    </row>
    <row r="43" spans="1:11" ht="15.75" thickBot="1" x14ac:dyDescent="0.25">
      <c r="A43" s="269" t="s">
        <v>416</v>
      </c>
      <c r="B43" s="270">
        <f>E43+H43</f>
        <v>100</v>
      </c>
      <c r="C43" s="271">
        <f>ROUND(C42/$B$42*100,1)</f>
        <v>45.4</v>
      </c>
      <c r="D43" s="270">
        <f>ROUND(D42/$B$42*100,1)</f>
        <v>23.9</v>
      </c>
      <c r="E43" s="270">
        <f t="shared" ref="E43:H43" si="3">ROUND(E42/$B$42*100,1)</f>
        <v>69.3</v>
      </c>
      <c r="F43" s="271">
        <f t="shared" si="3"/>
        <v>25</v>
      </c>
      <c r="G43" s="270">
        <f t="shared" si="3"/>
        <v>5.7</v>
      </c>
      <c r="H43" s="270">
        <f t="shared" si="3"/>
        <v>30.7</v>
      </c>
      <c r="J43" s="48"/>
    </row>
    <row r="44" spans="1:11" ht="15" x14ac:dyDescent="0.2">
      <c r="A44" s="2" t="s">
        <v>417</v>
      </c>
      <c r="B44" s="26"/>
      <c r="C44" s="26"/>
      <c r="D44" s="26"/>
      <c r="E44" s="26"/>
      <c r="F44" s="26"/>
      <c r="G44" s="26"/>
      <c r="H44" s="2"/>
    </row>
    <row r="45" spans="1:11" ht="15" x14ac:dyDescent="0.2">
      <c r="A45" s="6"/>
      <c r="B45" s="111"/>
      <c r="C45" s="175">
        <f>+B45/B42</f>
        <v>0</v>
      </c>
      <c r="D45" s="175"/>
      <c r="E45" s="114"/>
      <c r="F45" s="19"/>
      <c r="G45" s="19"/>
      <c r="H45" s="55"/>
    </row>
    <row r="46" spans="1:11" ht="20.25" customHeight="1" x14ac:dyDescent="0.3">
      <c r="A46" s="98" t="s">
        <v>386</v>
      </c>
      <c r="B46" s="6"/>
      <c r="C46" s="6"/>
      <c r="D46" s="6"/>
      <c r="E46" s="6"/>
      <c r="F46" s="6"/>
      <c r="G46" s="6"/>
      <c r="H46" s="6"/>
    </row>
    <row r="47" spans="1:11" ht="20.25" customHeight="1" x14ac:dyDescent="0.3">
      <c r="A47" s="98" t="s">
        <v>478</v>
      </c>
      <c r="B47" s="6"/>
      <c r="C47" s="27"/>
      <c r="D47" s="6"/>
      <c r="E47" s="6"/>
      <c r="F47" s="6"/>
      <c r="G47" s="364" t="str">
        <f>$C$2</f>
        <v>2025 Tax Year</v>
      </c>
      <c r="H47" s="6"/>
    </row>
    <row r="48" spans="1:11" x14ac:dyDescent="0.2">
      <c r="A48" s="6"/>
      <c r="B48" s="6"/>
      <c r="C48" s="6"/>
      <c r="D48" s="6"/>
      <c r="E48" s="6"/>
      <c r="F48" s="6"/>
      <c r="G48" s="6"/>
      <c r="H48" s="6"/>
    </row>
    <row r="49" spans="1:11" ht="15" x14ac:dyDescent="0.2">
      <c r="A49" s="2"/>
      <c r="B49" s="2"/>
      <c r="C49" s="107"/>
      <c r="D49" s="2"/>
      <c r="E49" s="2"/>
      <c r="F49" s="107" t="s">
        <v>318</v>
      </c>
      <c r="G49" s="2"/>
      <c r="H49" s="2"/>
    </row>
    <row r="50" spans="1:11" ht="15.75" thickBot="1" x14ac:dyDescent="0.25">
      <c r="A50" s="14" t="s">
        <v>27</v>
      </c>
      <c r="B50" s="108" t="s">
        <v>350</v>
      </c>
      <c r="C50" s="109" t="s">
        <v>351</v>
      </c>
      <c r="D50" s="110" t="s">
        <v>28</v>
      </c>
      <c r="E50" s="15" t="s">
        <v>352</v>
      </c>
      <c r="F50" s="109" t="s">
        <v>30</v>
      </c>
      <c r="G50" s="110" t="s">
        <v>10</v>
      </c>
      <c r="H50" s="110" t="s">
        <v>353</v>
      </c>
    </row>
    <row r="51" spans="1:11" ht="15" x14ac:dyDescent="0.2">
      <c r="A51" s="17" t="s">
        <v>31</v>
      </c>
      <c r="B51" s="297">
        <f>E51+H51</f>
        <v>947435246.12</v>
      </c>
      <c r="C51" s="300">
        <v>716038383.13</v>
      </c>
      <c r="D51" s="301">
        <v>231396862.98999998</v>
      </c>
      <c r="E51" s="155">
        <f>C51+D51</f>
        <v>947435246.12</v>
      </c>
      <c r="F51" s="237"/>
      <c r="G51" s="236"/>
      <c r="H51" s="236">
        <f>F51+G51</f>
        <v>0</v>
      </c>
    </row>
    <row r="52" spans="1:11" ht="15" x14ac:dyDescent="0.2">
      <c r="A52" s="2" t="s">
        <v>32</v>
      </c>
      <c r="B52" s="157">
        <f t="shared" ref="B52:B82" si="4">E52+H52</f>
        <v>2796097.0700000003</v>
      </c>
      <c r="C52" s="298">
        <v>1167832.1600000001</v>
      </c>
      <c r="D52" s="157">
        <v>1628264.9100000001</v>
      </c>
      <c r="E52" s="157">
        <f t="shared" ref="E52:E83" si="5">C52+D52</f>
        <v>2796097.0700000003</v>
      </c>
      <c r="F52" s="235"/>
      <c r="G52" s="234"/>
      <c r="H52" s="234">
        <f t="shared" ref="H52:H83" si="6">F52+G52</f>
        <v>0</v>
      </c>
    </row>
    <row r="53" spans="1:11" ht="15" x14ac:dyDescent="0.2">
      <c r="A53" s="17" t="s">
        <v>33</v>
      </c>
      <c r="B53" s="155">
        <f t="shared" si="4"/>
        <v>41777524.910000004</v>
      </c>
      <c r="C53" s="299">
        <v>22253424.380000003</v>
      </c>
      <c r="D53" s="155">
        <v>17583592.910000004</v>
      </c>
      <c r="E53" s="155">
        <f t="shared" si="5"/>
        <v>39837017.290000007</v>
      </c>
      <c r="F53" s="237">
        <v>1578699.5100000002</v>
      </c>
      <c r="G53" s="236">
        <v>361808.11</v>
      </c>
      <c r="H53" s="236">
        <f t="shared" si="6"/>
        <v>1940507.62</v>
      </c>
    </row>
    <row r="54" spans="1:11" ht="15" x14ac:dyDescent="0.2">
      <c r="A54" s="2" t="s">
        <v>34</v>
      </c>
      <c r="B54" s="234">
        <f t="shared" si="4"/>
        <v>13635788.800000001</v>
      </c>
      <c r="C54" s="235">
        <v>5759889.2799999993</v>
      </c>
      <c r="D54" s="234">
        <v>7875899.5200000005</v>
      </c>
      <c r="E54" s="234">
        <f t="shared" si="5"/>
        <v>13635788.800000001</v>
      </c>
      <c r="F54" s="235"/>
      <c r="G54" s="234"/>
      <c r="H54" s="234">
        <f t="shared" si="6"/>
        <v>0</v>
      </c>
    </row>
    <row r="55" spans="1:11" ht="15" x14ac:dyDescent="0.2">
      <c r="A55" s="17" t="s">
        <v>35</v>
      </c>
      <c r="B55" s="236">
        <f t="shared" si="4"/>
        <v>21675505.070000004</v>
      </c>
      <c r="C55" s="237">
        <v>14642864.170000002</v>
      </c>
      <c r="D55" s="236">
        <v>6710607.370000001</v>
      </c>
      <c r="E55" s="236">
        <f t="shared" si="5"/>
        <v>21353471.540000003</v>
      </c>
      <c r="F55" s="237">
        <v>265697.25</v>
      </c>
      <c r="G55" s="236">
        <v>56336.280000000013</v>
      </c>
      <c r="H55" s="236">
        <f t="shared" si="6"/>
        <v>322033.53000000003</v>
      </c>
    </row>
    <row r="56" spans="1:11" ht="15" x14ac:dyDescent="0.2">
      <c r="A56" s="2" t="s">
        <v>36</v>
      </c>
      <c r="B56" s="234">
        <f t="shared" si="4"/>
        <v>28094107.810000002</v>
      </c>
      <c r="C56" s="235">
        <v>18203457.540000003</v>
      </c>
      <c r="D56" s="234">
        <v>9890650.2700000014</v>
      </c>
      <c r="E56" s="234">
        <f t="shared" si="5"/>
        <v>28094107.810000002</v>
      </c>
      <c r="F56" s="235"/>
      <c r="G56" s="234"/>
      <c r="H56" s="234">
        <f t="shared" si="6"/>
        <v>0</v>
      </c>
    </row>
    <row r="57" spans="1:11" ht="15" x14ac:dyDescent="0.2">
      <c r="A57" s="17" t="s">
        <v>67</v>
      </c>
      <c r="B57" s="236">
        <f t="shared" si="4"/>
        <v>2052599.3199999998</v>
      </c>
      <c r="C57" s="237">
        <v>407715.83999999997</v>
      </c>
      <c r="D57" s="236">
        <v>1644883.48</v>
      </c>
      <c r="E57" s="236">
        <f t="shared" si="5"/>
        <v>2052599.3199999998</v>
      </c>
      <c r="F57" s="237"/>
      <c r="G57" s="236"/>
      <c r="H57" s="236">
        <f t="shared" si="6"/>
        <v>0</v>
      </c>
    </row>
    <row r="58" spans="1:11" ht="15" x14ac:dyDescent="0.2">
      <c r="A58" s="2" t="s">
        <v>37</v>
      </c>
      <c r="B58" s="234">
        <f t="shared" si="4"/>
        <v>190030191.84</v>
      </c>
      <c r="C58" s="235">
        <v>136056250.40000001</v>
      </c>
      <c r="D58" s="234">
        <v>53973941.440000005</v>
      </c>
      <c r="E58" s="234">
        <f t="shared" si="5"/>
        <v>190030191.84</v>
      </c>
      <c r="F58" s="235"/>
      <c r="G58" s="234"/>
      <c r="H58" s="234">
        <f t="shared" si="6"/>
        <v>0</v>
      </c>
    </row>
    <row r="59" spans="1:11" ht="15" x14ac:dyDescent="0.2">
      <c r="A59" s="17" t="s">
        <v>38</v>
      </c>
      <c r="B59" s="236">
        <f t="shared" si="4"/>
        <v>408622179.76999998</v>
      </c>
      <c r="C59" s="237">
        <v>25285339.800000001</v>
      </c>
      <c r="D59" s="236">
        <v>75444950.519999996</v>
      </c>
      <c r="E59" s="236">
        <f t="shared" si="5"/>
        <v>100730290.31999999</v>
      </c>
      <c r="F59" s="237">
        <v>250741079.00999999</v>
      </c>
      <c r="G59" s="236">
        <v>57150810.439999998</v>
      </c>
      <c r="H59" s="236">
        <f t="shared" si="6"/>
        <v>307891889.44999999</v>
      </c>
    </row>
    <row r="60" spans="1:11" ht="15" x14ac:dyDescent="0.2">
      <c r="A60" s="2" t="s">
        <v>39</v>
      </c>
      <c r="B60" s="234">
        <f>E60+H60</f>
        <v>20940971.470000003</v>
      </c>
      <c r="C60" s="235">
        <v>10724162.610000001</v>
      </c>
      <c r="D60" s="234">
        <v>6413465.4900000002</v>
      </c>
      <c r="E60" s="234">
        <f t="shared" si="5"/>
        <v>17137628.100000001</v>
      </c>
      <c r="F60" s="235">
        <v>3803343.3699999996</v>
      </c>
      <c r="G60" s="234"/>
      <c r="H60" s="234">
        <f t="shared" si="6"/>
        <v>3803343.3699999996</v>
      </c>
    </row>
    <row r="61" spans="1:11" ht="15" x14ac:dyDescent="0.2">
      <c r="A61" s="17" t="s">
        <v>40</v>
      </c>
      <c r="B61" s="236">
        <f t="shared" si="4"/>
        <v>5661328.8700000001</v>
      </c>
      <c r="C61" s="237">
        <v>1233569.4400000002</v>
      </c>
      <c r="D61" s="236">
        <v>4427759.43</v>
      </c>
      <c r="E61" s="236">
        <f t="shared" si="5"/>
        <v>5661328.8700000001</v>
      </c>
      <c r="F61" s="237"/>
      <c r="G61" s="236"/>
      <c r="H61" s="236">
        <f t="shared" si="6"/>
        <v>0</v>
      </c>
      <c r="K61" s="176"/>
    </row>
    <row r="62" spans="1:11" ht="15" x14ac:dyDescent="0.2">
      <c r="A62" s="2" t="s">
        <v>41</v>
      </c>
      <c r="B62" s="234">
        <f t="shared" si="4"/>
        <v>1768782.32</v>
      </c>
      <c r="C62" s="235">
        <v>127411.11</v>
      </c>
      <c r="D62" s="234">
        <v>1292174.8899999999</v>
      </c>
      <c r="E62" s="234">
        <f t="shared" si="5"/>
        <v>1419586</v>
      </c>
      <c r="F62" s="235">
        <v>287703.73</v>
      </c>
      <c r="G62" s="234">
        <v>61492.590000000004</v>
      </c>
      <c r="H62" s="234">
        <f t="shared" si="6"/>
        <v>349196.32</v>
      </c>
    </row>
    <row r="63" spans="1:11" ht="15" x14ac:dyDescent="0.2">
      <c r="A63" s="17" t="s">
        <v>42</v>
      </c>
      <c r="B63" s="236">
        <f t="shared" si="4"/>
        <v>4180947.2699999996</v>
      </c>
      <c r="C63" s="237">
        <v>626202.75000000012</v>
      </c>
      <c r="D63" s="236">
        <v>3554744.5199999996</v>
      </c>
      <c r="E63" s="236">
        <f t="shared" si="5"/>
        <v>4180947.2699999996</v>
      </c>
      <c r="F63" s="237"/>
      <c r="G63" s="236"/>
      <c r="H63" s="236">
        <f t="shared" si="6"/>
        <v>0</v>
      </c>
      <c r="K63" s="178"/>
    </row>
    <row r="64" spans="1:11" ht="15" x14ac:dyDescent="0.2">
      <c r="A64" s="2" t="s">
        <v>43</v>
      </c>
      <c r="B64" s="234">
        <f t="shared" si="4"/>
        <v>543143799.92000008</v>
      </c>
      <c r="C64" s="235">
        <v>24659886.940000005</v>
      </c>
      <c r="D64" s="234">
        <v>67192569.359999999</v>
      </c>
      <c r="E64" s="234">
        <f t="shared" si="5"/>
        <v>91852456.300000012</v>
      </c>
      <c r="F64" s="235">
        <v>366113483.86000001</v>
      </c>
      <c r="G64" s="234">
        <v>85177859.760000005</v>
      </c>
      <c r="H64" s="234">
        <f t="shared" si="6"/>
        <v>451291343.62</v>
      </c>
    </row>
    <row r="65" spans="1:8" ht="15" x14ac:dyDescent="0.2">
      <c r="A65" s="17" t="s">
        <v>44</v>
      </c>
      <c r="B65" s="236">
        <f t="shared" si="4"/>
        <v>40055891.330000013</v>
      </c>
      <c r="C65" s="237">
        <v>26229952.480000008</v>
      </c>
      <c r="D65" s="236">
        <v>13825938.850000001</v>
      </c>
      <c r="E65" s="236">
        <f t="shared" si="5"/>
        <v>40055891.330000013</v>
      </c>
      <c r="F65" s="237"/>
      <c r="G65" s="236"/>
      <c r="H65" s="236">
        <f t="shared" si="6"/>
        <v>0</v>
      </c>
    </row>
    <row r="66" spans="1:8" ht="15" x14ac:dyDescent="0.2">
      <c r="A66" s="2" t="s">
        <v>45</v>
      </c>
      <c r="B66" s="234">
        <f t="shared" si="4"/>
        <v>26925448.139999997</v>
      </c>
      <c r="C66" s="235">
        <v>23219720.909999996</v>
      </c>
      <c r="D66" s="234">
        <v>3705727.23</v>
      </c>
      <c r="E66" s="234">
        <f t="shared" si="5"/>
        <v>26925448.139999997</v>
      </c>
      <c r="F66" s="235"/>
      <c r="G66" s="234"/>
      <c r="H66" s="234">
        <f t="shared" si="6"/>
        <v>0</v>
      </c>
    </row>
    <row r="67" spans="1:8" ht="15" x14ac:dyDescent="0.2">
      <c r="A67" s="17" t="s">
        <v>46</v>
      </c>
      <c r="B67" s="236">
        <f t="shared" si="4"/>
        <v>17103434.090000004</v>
      </c>
      <c r="C67" s="237">
        <v>7351781.6799999997</v>
      </c>
      <c r="D67" s="236">
        <v>9751652.410000002</v>
      </c>
      <c r="E67" s="236">
        <f t="shared" si="5"/>
        <v>17103434.090000004</v>
      </c>
      <c r="F67" s="237"/>
      <c r="G67" s="236"/>
      <c r="H67" s="236">
        <f t="shared" si="6"/>
        <v>0</v>
      </c>
    </row>
    <row r="68" spans="1:8" ht="15" x14ac:dyDescent="0.2">
      <c r="A68" s="2" t="s">
        <v>47</v>
      </c>
      <c r="B68" s="234">
        <f t="shared" si="4"/>
        <v>24237278.259999998</v>
      </c>
      <c r="C68" s="235">
        <v>9803501.4400000013</v>
      </c>
      <c r="D68" s="234">
        <v>14432767.069999998</v>
      </c>
      <c r="E68" s="234">
        <f t="shared" si="5"/>
        <v>24236268.509999998</v>
      </c>
      <c r="F68" s="235">
        <v>817.9</v>
      </c>
      <c r="G68" s="234">
        <v>191.85</v>
      </c>
      <c r="H68" s="234">
        <f t="shared" si="6"/>
        <v>1009.75</v>
      </c>
    </row>
    <row r="69" spans="1:8" ht="15" x14ac:dyDescent="0.2">
      <c r="A69" s="17" t="s">
        <v>48</v>
      </c>
      <c r="B69" s="236">
        <f t="shared" si="4"/>
        <v>4086771.74</v>
      </c>
      <c r="C69" s="237">
        <v>2062274.4700000002</v>
      </c>
      <c r="D69" s="236">
        <v>2024497.2699999998</v>
      </c>
      <c r="E69" s="236">
        <f t="shared" si="5"/>
        <v>4086771.74</v>
      </c>
      <c r="F69" s="237"/>
      <c r="G69" s="236"/>
      <c r="H69" s="236">
        <f t="shared" si="6"/>
        <v>0</v>
      </c>
    </row>
    <row r="70" spans="1:8" ht="15" x14ac:dyDescent="0.2">
      <c r="A70" s="2" t="s">
        <v>49</v>
      </c>
      <c r="B70" s="234">
        <f t="shared" si="4"/>
        <v>38886962.25</v>
      </c>
      <c r="C70" s="235">
        <v>24642242.970000003</v>
      </c>
      <c r="D70" s="234">
        <v>14244719.279999999</v>
      </c>
      <c r="E70" s="234">
        <f t="shared" si="5"/>
        <v>38886962.25</v>
      </c>
      <c r="F70" s="235"/>
      <c r="G70" s="234"/>
      <c r="H70" s="234">
        <f t="shared" si="6"/>
        <v>0</v>
      </c>
    </row>
    <row r="71" spans="1:8" ht="15" x14ac:dyDescent="0.2">
      <c r="A71" s="17" t="s">
        <v>50</v>
      </c>
      <c r="B71" s="236">
        <f t="shared" si="4"/>
        <v>7283147.6800000006</v>
      </c>
      <c r="C71" s="237">
        <v>2686691.38</v>
      </c>
      <c r="D71" s="236">
        <v>4577355.3500000006</v>
      </c>
      <c r="E71" s="236">
        <f t="shared" si="5"/>
        <v>7264046.7300000004</v>
      </c>
      <c r="F71" s="237">
        <v>15465.240000000002</v>
      </c>
      <c r="G71" s="236">
        <v>3635.71</v>
      </c>
      <c r="H71" s="236">
        <f t="shared" si="6"/>
        <v>19100.95</v>
      </c>
    </row>
    <row r="72" spans="1:8" ht="15" x14ac:dyDescent="0.2">
      <c r="A72" s="2" t="s">
        <v>51</v>
      </c>
      <c r="B72" s="234">
        <f t="shared" si="4"/>
        <v>38073481.710000001</v>
      </c>
      <c r="C72" s="235">
        <v>17425002.170000002</v>
      </c>
      <c r="D72" s="234">
        <v>13122043.15</v>
      </c>
      <c r="E72" s="234">
        <f t="shared" si="5"/>
        <v>30547045.32</v>
      </c>
      <c r="F72" s="235">
        <v>6077444.7600000007</v>
      </c>
      <c r="G72" s="234">
        <v>1448991.6300000001</v>
      </c>
      <c r="H72" s="234">
        <f t="shared" si="6"/>
        <v>7526436.3900000006</v>
      </c>
    </row>
    <row r="73" spans="1:8" ht="15" x14ac:dyDescent="0.2">
      <c r="A73" s="17" t="s">
        <v>52</v>
      </c>
      <c r="B73" s="236">
        <f t="shared" si="4"/>
        <v>15694553.849999998</v>
      </c>
      <c r="C73" s="237">
        <v>5408534.4900000002</v>
      </c>
      <c r="D73" s="236">
        <v>9962378.8999999985</v>
      </c>
      <c r="E73" s="236">
        <f t="shared" si="5"/>
        <v>15370913.389999999</v>
      </c>
      <c r="F73" s="237">
        <v>265847.48</v>
      </c>
      <c r="G73" s="236">
        <v>57792.98</v>
      </c>
      <c r="H73" s="236">
        <f t="shared" si="6"/>
        <v>323640.45999999996</v>
      </c>
    </row>
    <row r="74" spans="1:8" ht="15" x14ac:dyDescent="0.2">
      <c r="A74" s="2" t="s">
        <v>53</v>
      </c>
      <c r="B74" s="234">
        <f t="shared" si="4"/>
        <v>102108994.27</v>
      </c>
      <c r="C74" s="235">
        <v>45310809.529999994</v>
      </c>
      <c r="D74" s="234">
        <v>41118302.800000004</v>
      </c>
      <c r="E74" s="234">
        <f t="shared" si="5"/>
        <v>86429112.329999998</v>
      </c>
      <c r="F74" s="235">
        <v>12788483.729999999</v>
      </c>
      <c r="G74" s="234">
        <v>2891398.2100000004</v>
      </c>
      <c r="H74" s="234">
        <f t="shared" si="6"/>
        <v>15679881.939999999</v>
      </c>
    </row>
    <row r="75" spans="1:8" ht="15" x14ac:dyDescent="0.2">
      <c r="A75" s="17" t="s">
        <v>54</v>
      </c>
      <c r="B75" s="236">
        <f t="shared" si="4"/>
        <v>18634171.5</v>
      </c>
      <c r="C75" s="237">
        <v>11255956.73</v>
      </c>
      <c r="D75" s="236">
        <v>7378214.7700000005</v>
      </c>
      <c r="E75" s="236">
        <f t="shared" si="5"/>
        <v>18634171.5</v>
      </c>
      <c r="F75" s="237"/>
      <c r="G75" s="236"/>
      <c r="H75" s="236">
        <f t="shared" si="6"/>
        <v>0</v>
      </c>
    </row>
    <row r="76" spans="1:8" ht="15" x14ac:dyDescent="0.2">
      <c r="A76" s="2" t="s">
        <v>55</v>
      </c>
      <c r="B76" s="234">
        <f t="shared" si="4"/>
        <v>199298102.24999997</v>
      </c>
      <c r="C76" s="235">
        <v>148375736.61999997</v>
      </c>
      <c r="D76" s="234">
        <v>47947733.149999999</v>
      </c>
      <c r="E76" s="234">
        <f t="shared" si="5"/>
        <v>196323469.76999998</v>
      </c>
      <c r="F76" s="235">
        <v>2411358.5</v>
      </c>
      <c r="G76" s="234">
        <v>563273.98</v>
      </c>
      <c r="H76" s="234">
        <f t="shared" si="6"/>
        <v>2974632.48</v>
      </c>
    </row>
    <row r="77" spans="1:8" ht="15" x14ac:dyDescent="0.2">
      <c r="A77" s="17" t="s">
        <v>56</v>
      </c>
      <c r="B77" s="236">
        <f t="shared" si="4"/>
        <v>218320216.69999999</v>
      </c>
      <c r="C77" s="237">
        <v>163088028.25999999</v>
      </c>
      <c r="D77" s="236">
        <v>55232188.439999998</v>
      </c>
      <c r="E77" s="236">
        <f t="shared" si="5"/>
        <v>218320216.69999999</v>
      </c>
      <c r="F77" s="237"/>
      <c r="G77" s="236"/>
      <c r="H77" s="236">
        <f t="shared" si="6"/>
        <v>0</v>
      </c>
    </row>
    <row r="78" spans="1:8" ht="15" x14ac:dyDescent="0.2">
      <c r="A78" s="2" t="s">
        <v>57</v>
      </c>
      <c r="B78" s="234">
        <f t="shared" si="4"/>
        <v>10369049.43</v>
      </c>
      <c r="C78" s="235">
        <v>6545371.0499999998</v>
      </c>
      <c r="D78" s="234">
        <v>3823678.38</v>
      </c>
      <c r="E78" s="234">
        <f t="shared" si="5"/>
        <v>10369049.43</v>
      </c>
      <c r="F78" s="235"/>
      <c r="G78" s="234"/>
      <c r="H78" s="234">
        <f t="shared" si="6"/>
        <v>0</v>
      </c>
    </row>
    <row r="79" spans="1:8" ht="15" x14ac:dyDescent="0.2">
      <c r="A79" s="17" t="s">
        <v>58</v>
      </c>
      <c r="B79" s="236">
        <f t="shared" si="4"/>
        <v>12176896.34</v>
      </c>
      <c r="C79" s="237">
        <v>6113402.75</v>
      </c>
      <c r="D79" s="236">
        <v>6063493.5900000008</v>
      </c>
      <c r="E79" s="236">
        <f t="shared" si="5"/>
        <v>12176896.34</v>
      </c>
      <c r="F79" s="237"/>
      <c r="G79" s="236"/>
      <c r="H79" s="236">
        <f t="shared" si="6"/>
        <v>0</v>
      </c>
    </row>
    <row r="80" spans="1:8" ht="15" x14ac:dyDescent="0.2">
      <c r="A80" s="2" t="s">
        <v>59</v>
      </c>
      <c r="B80" s="234">
        <f t="shared" si="4"/>
        <v>38641111.519999996</v>
      </c>
      <c r="C80" s="235">
        <v>21201207.289999999</v>
      </c>
      <c r="D80" s="234">
        <v>17439904.23</v>
      </c>
      <c r="E80" s="234">
        <f t="shared" si="5"/>
        <v>38641111.519999996</v>
      </c>
      <c r="F80" s="235"/>
      <c r="G80" s="234"/>
      <c r="H80" s="234">
        <f t="shared" si="6"/>
        <v>0</v>
      </c>
    </row>
    <row r="81" spans="1:8" ht="15" x14ac:dyDescent="0.2">
      <c r="A81" s="17" t="s">
        <v>60</v>
      </c>
      <c r="B81" s="236">
        <f t="shared" si="4"/>
        <v>13544321.979999999</v>
      </c>
      <c r="C81" s="237">
        <v>5566297.0800000001</v>
      </c>
      <c r="D81" s="236">
        <v>7978024.8999999985</v>
      </c>
      <c r="E81" s="236">
        <f t="shared" si="5"/>
        <v>13544321.979999999</v>
      </c>
      <c r="F81" s="237"/>
      <c r="G81" s="236"/>
      <c r="H81" s="236">
        <f t="shared" si="6"/>
        <v>0</v>
      </c>
    </row>
    <row r="82" spans="1:8" ht="15" x14ac:dyDescent="0.2">
      <c r="A82" s="2" t="s">
        <v>61</v>
      </c>
      <c r="B82" s="234">
        <f t="shared" si="4"/>
        <v>5194312.8800000008</v>
      </c>
      <c r="C82" s="235">
        <v>1190272.1100000001</v>
      </c>
      <c r="D82" s="234">
        <v>3836532.2400000007</v>
      </c>
      <c r="E82" s="234">
        <f t="shared" si="5"/>
        <v>5026804.3500000006</v>
      </c>
      <c r="F82" s="235">
        <v>137197.28</v>
      </c>
      <c r="G82" s="234">
        <v>30311.25</v>
      </c>
      <c r="H82" s="234">
        <f t="shared" si="6"/>
        <v>167508.53</v>
      </c>
    </row>
    <row r="83" spans="1:8" ht="15" x14ac:dyDescent="0.2">
      <c r="A83" s="17" t="s">
        <v>62</v>
      </c>
      <c r="B83" s="236">
        <f>E83+H83</f>
        <v>72566581.070000008</v>
      </c>
      <c r="C83" s="237">
        <v>47973223.25</v>
      </c>
      <c r="D83" s="236">
        <v>24593357.820000004</v>
      </c>
      <c r="E83" s="236">
        <f t="shared" si="5"/>
        <v>72566581.070000008</v>
      </c>
      <c r="F83" s="237"/>
      <c r="G83" s="236"/>
      <c r="H83" s="236">
        <f t="shared" si="6"/>
        <v>0</v>
      </c>
    </row>
    <row r="84" spans="1:8" ht="15" x14ac:dyDescent="0.2">
      <c r="A84" s="2" t="s">
        <v>330</v>
      </c>
      <c r="B84" s="234">
        <f>SUM(B51:B83)</f>
        <v>3135015797.5499997</v>
      </c>
      <c r="C84" s="235">
        <f t="shared" ref="C84:H84" si="7">SUM(C51:C83)</f>
        <v>1552636396.2099996</v>
      </c>
      <c r="D84" s="234">
        <f t="shared" si="7"/>
        <v>790088876.93000007</v>
      </c>
      <c r="E84" s="234">
        <f t="shared" si="7"/>
        <v>2342725273.1399994</v>
      </c>
      <c r="F84" s="235">
        <f t="shared" si="7"/>
        <v>644486621.62</v>
      </c>
      <c r="G84" s="234">
        <f t="shared" si="7"/>
        <v>147803902.78999999</v>
      </c>
      <c r="H84" s="234">
        <f t="shared" si="7"/>
        <v>792290524.41000009</v>
      </c>
    </row>
    <row r="85" spans="1:8" ht="15.75" thickBot="1" x14ac:dyDescent="0.25">
      <c r="A85" s="269" t="s">
        <v>416</v>
      </c>
      <c r="B85" s="270">
        <f>E85+H85</f>
        <v>100</v>
      </c>
      <c r="C85" s="271">
        <f>ROUND(C84/$B$84*100,1)</f>
        <v>49.5</v>
      </c>
      <c r="D85" s="270">
        <f>ROUND(D84/$B$84*100,1)</f>
        <v>25.2</v>
      </c>
      <c r="E85" s="270">
        <f t="shared" ref="E85:H85" si="8">ROUND(E84/$B$84*100,1)</f>
        <v>74.7</v>
      </c>
      <c r="F85" s="271">
        <f t="shared" si="8"/>
        <v>20.6</v>
      </c>
      <c r="G85" s="270">
        <f t="shared" si="8"/>
        <v>4.7</v>
      </c>
      <c r="H85" s="270">
        <f t="shared" si="8"/>
        <v>25.3</v>
      </c>
    </row>
    <row r="86" spans="1:8" ht="15" x14ac:dyDescent="0.2">
      <c r="A86" s="2" t="s">
        <v>423</v>
      </c>
      <c r="B86" s="2"/>
      <c r="C86" s="2"/>
      <c r="D86" s="2"/>
      <c r="E86" s="2"/>
      <c r="F86" s="2"/>
      <c r="G86" s="2"/>
      <c r="H86" s="2"/>
    </row>
    <row r="87" spans="1:8" ht="29.25" customHeight="1" x14ac:dyDescent="0.2">
      <c r="A87" s="631" t="s">
        <v>470</v>
      </c>
      <c r="B87" s="632"/>
      <c r="C87" s="632"/>
      <c r="D87" s="632"/>
      <c r="E87" s="632"/>
      <c r="F87" s="632"/>
      <c r="G87" s="632"/>
      <c r="H87" s="632"/>
    </row>
    <row r="88" spans="1:8" x14ac:dyDescent="0.2">
      <c r="C88" s="174"/>
      <c r="D88" s="174"/>
      <c r="E88" s="174"/>
    </row>
    <row r="89" spans="1:8" x14ac:dyDescent="0.2">
      <c r="C89" s="176"/>
    </row>
    <row r="90" spans="1:8" x14ac:dyDescent="0.2">
      <c r="A90" s="633">
        <v>9</v>
      </c>
      <c r="B90" s="633"/>
      <c r="C90" s="633"/>
      <c r="D90" s="633"/>
      <c r="E90" s="633"/>
      <c r="F90" s="633"/>
      <c r="G90" s="633"/>
      <c r="H90" s="633"/>
    </row>
    <row r="91" spans="1:8" ht="20.25" x14ac:dyDescent="0.3">
      <c r="A91" s="371"/>
      <c r="B91" s="371"/>
      <c r="C91" s="371"/>
      <c r="D91" s="371"/>
      <c r="E91" s="371"/>
      <c r="F91" s="371"/>
      <c r="G91" s="371"/>
      <c r="H91" s="371"/>
    </row>
    <row r="92" spans="1:8" ht="13.5" thickBot="1" x14ac:dyDescent="0.25">
      <c r="A92" s="7" t="s">
        <v>485</v>
      </c>
    </row>
    <row r="93" spans="1:8" ht="15.75" thickBot="1" x14ac:dyDescent="0.25">
      <c r="A93" s="17" t="s">
        <v>31</v>
      </c>
      <c r="B93" s="305">
        <f>B51/1000</f>
        <v>947435.24612000003</v>
      </c>
    </row>
    <row r="94" spans="1:8" ht="15.75" thickBot="1" x14ac:dyDescent="0.25">
      <c r="A94" s="2" t="s">
        <v>32</v>
      </c>
      <c r="B94" s="305">
        <f t="shared" ref="B94:B125" si="9">B52/1000</f>
        <v>2796.0970700000003</v>
      </c>
    </row>
    <row r="95" spans="1:8" ht="15.75" thickBot="1" x14ac:dyDescent="0.25">
      <c r="A95" s="17" t="s">
        <v>33</v>
      </c>
      <c r="B95" s="305">
        <f t="shared" si="9"/>
        <v>41777.524910000007</v>
      </c>
    </row>
    <row r="96" spans="1:8" ht="15.75" thickBot="1" x14ac:dyDescent="0.25">
      <c r="A96" s="2" t="s">
        <v>34</v>
      </c>
      <c r="B96" s="305">
        <f t="shared" si="9"/>
        <v>13635.7888</v>
      </c>
    </row>
    <row r="97" spans="1:2" ht="15.75" thickBot="1" x14ac:dyDescent="0.25">
      <c r="A97" s="17" t="s">
        <v>35</v>
      </c>
      <c r="B97" s="305">
        <f t="shared" si="9"/>
        <v>21675.505070000003</v>
      </c>
    </row>
    <row r="98" spans="1:2" ht="15.75" thickBot="1" x14ac:dyDescent="0.25">
      <c r="A98" s="2" t="s">
        <v>36</v>
      </c>
      <c r="B98" s="305">
        <f t="shared" si="9"/>
        <v>28094.107810000001</v>
      </c>
    </row>
    <row r="99" spans="1:2" ht="15.75" thickBot="1" x14ac:dyDescent="0.25">
      <c r="A99" s="17" t="s">
        <v>67</v>
      </c>
      <c r="B99" s="305">
        <f t="shared" si="9"/>
        <v>2052.5993199999998</v>
      </c>
    </row>
    <row r="100" spans="1:2" ht="15.75" thickBot="1" x14ac:dyDescent="0.25">
      <c r="A100" s="2" t="s">
        <v>37</v>
      </c>
      <c r="B100" s="305">
        <f t="shared" si="9"/>
        <v>190030.19184000001</v>
      </c>
    </row>
    <row r="101" spans="1:2" ht="15.75" thickBot="1" x14ac:dyDescent="0.25">
      <c r="A101" s="17" t="s">
        <v>38</v>
      </c>
      <c r="B101" s="305">
        <f t="shared" si="9"/>
        <v>408622.17976999999</v>
      </c>
    </row>
    <row r="102" spans="1:2" ht="15.75" thickBot="1" x14ac:dyDescent="0.25">
      <c r="A102" s="2" t="s">
        <v>39</v>
      </c>
      <c r="B102" s="305">
        <f t="shared" si="9"/>
        <v>20940.971470000004</v>
      </c>
    </row>
    <row r="103" spans="1:2" ht="15.75" thickBot="1" x14ac:dyDescent="0.25">
      <c r="A103" s="17" t="s">
        <v>40</v>
      </c>
      <c r="B103" s="305">
        <f t="shared" si="9"/>
        <v>5661.3288700000003</v>
      </c>
    </row>
    <row r="104" spans="1:2" ht="15.75" thickBot="1" x14ac:dyDescent="0.25">
      <c r="A104" s="2" t="s">
        <v>41</v>
      </c>
      <c r="B104" s="305">
        <f t="shared" si="9"/>
        <v>1768.78232</v>
      </c>
    </row>
    <row r="105" spans="1:2" ht="15.75" thickBot="1" x14ac:dyDescent="0.25">
      <c r="A105" s="17" t="s">
        <v>42</v>
      </c>
      <c r="B105" s="305">
        <f t="shared" si="9"/>
        <v>4180.9472699999997</v>
      </c>
    </row>
    <row r="106" spans="1:2" ht="15.75" thickBot="1" x14ac:dyDescent="0.25">
      <c r="A106" s="2" t="s">
        <v>43</v>
      </c>
      <c r="B106" s="305">
        <f t="shared" si="9"/>
        <v>543143.79992000002</v>
      </c>
    </row>
    <row r="107" spans="1:2" ht="15.75" thickBot="1" x14ac:dyDescent="0.25">
      <c r="A107" s="17" t="s">
        <v>44</v>
      </c>
      <c r="B107" s="305">
        <f t="shared" si="9"/>
        <v>40055.891330000013</v>
      </c>
    </row>
    <row r="108" spans="1:2" ht="15.75" thickBot="1" x14ac:dyDescent="0.25">
      <c r="A108" s="2" t="s">
        <v>45</v>
      </c>
      <c r="B108" s="305">
        <f t="shared" si="9"/>
        <v>26925.448139999997</v>
      </c>
    </row>
    <row r="109" spans="1:2" ht="15.75" thickBot="1" x14ac:dyDescent="0.25">
      <c r="A109" s="17" t="s">
        <v>46</v>
      </c>
      <c r="B109" s="305">
        <f t="shared" si="9"/>
        <v>17103.434090000002</v>
      </c>
    </row>
    <row r="110" spans="1:2" ht="15.75" thickBot="1" x14ac:dyDescent="0.25">
      <c r="A110" s="2" t="s">
        <v>47</v>
      </c>
      <c r="B110" s="305">
        <f t="shared" si="9"/>
        <v>24237.278259999999</v>
      </c>
    </row>
    <row r="111" spans="1:2" ht="15.75" thickBot="1" x14ac:dyDescent="0.25">
      <c r="A111" s="17" t="s">
        <v>48</v>
      </c>
      <c r="B111" s="305">
        <f t="shared" si="9"/>
        <v>4086.7717400000001</v>
      </c>
    </row>
    <row r="112" spans="1:2" ht="15.75" thickBot="1" x14ac:dyDescent="0.25">
      <c r="A112" s="2" t="s">
        <v>49</v>
      </c>
      <c r="B112" s="305">
        <f t="shared" si="9"/>
        <v>38886.962249999997</v>
      </c>
    </row>
    <row r="113" spans="1:2" ht="15.75" thickBot="1" x14ac:dyDescent="0.25">
      <c r="A113" s="17" t="s">
        <v>50</v>
      </c>
      <c r="B113" s="305">
        <f t="shared" si="9"/>
        <v>7283.1476800000009</v>
      </c>
    </row>
    <row r="114" spans="1:2" ht="15.75" thickBot="1" x14ac:dyDescent="0.25">
      <c r="A114" s="2" t="s">
        <v>51</v>
      </c>
      <c r="B114" s="305">
        <f t="shared" si="9"/>
        <v>38073.48171</v>
      </c>
    </row>
    <row r="115" spans="1:2" ht="15.75" thickBot="1" x14ac:dyDescent="0.25">
      <c r="A115" s="17" t="s">
        <v>52</v>
      </c>
      <c r="B115" s="305">
        <f t="shared" si="9"/>
        <v>15694.553849999998</v>
      </c>
    </row>
    <row r="116" spans="1:2" ht="15.75" thickBot="1" x14ac:dyDescent="0.25">
      <c r="A116" s="2" t="s">
        <v>53</v>
      </c>
      <c r="B116" s="305">
        <f t="shared" si="9"/>
        <v>102108.99427</v>
      </c>
    </row>
    <row r="117" spans="1:2" ht="15.75" thickBot="1" x14ac:dyDescent="0.25">
      <c r="A117" s="17" t="s">
        <v>54</v>
      </c>
      <c r="B117" s="305">
        <f t="shared" si="9"/>
        <v>18634.1715</v>
      </c>
    </row>
    <row r="118" spans="1:2" ht="15.75" thickBot="1" x14ac:dyDescent="0.25">
      <c r="A118" s="2" t="s">
        <v>55</v>
      </c>
      <c r="B118" s="305">
        <f t="shared" si="9"/>
        <v>199298.10224999997</v>
      </c>
    </row>
    <row r="119" spans="1:2" ht="15.75" thickBot="1" x14ac:dyDescent="0.25">
      <c r="A119" s="17" t="s">
        <v>56</v>
      </c>
      <c r="B119" s="305">
        <f t="shared" si="9"/>
        <v>218320.21669999999</v>
      </c>
    </row>
    <row r="120" spans="1:2" ht="15.75" thickBot="1" x14ac:dyDescent="0.25">
      <c r="A120" s="2" t="s">
        <v>57</v>
      </c>
      <c r="B120" s="305">
        <f t="shared" si="9"/>
        <v>10369.049429999999</v>
      </c>
    </row>
    <row r="121" spans="1:2" ht="15.75" thickBot="1" x14ac:dyDescent="0.25">
      <c r="A121" s="17" t="s">
        <v>58</v>
      </c>
      <c r="B121" s="305">
        <f t="shared" si="9"/>
        <v>12176.896339999999</v>
      </c>
    </row>
    <row r="122" spans="1:2" ht="15.75" thickBot="1" x14ac:dyDescent="0.25">
      <c r="A122" s="2" t="s">
        <v>59</v>
      </c>
      <c r="B122" s="305">
        <f t="shared" si="9"/>
        <v>38641.111519999999</v>
      </c>
    </row>
    <row r="123" spans="1:2" ht="15.75" thickBot="1" x14ac:dyDescent="0.25">
      <c r="A123" s="17" t="s">
        <v>60</v>
      </c>
      <c r="B123" s="305">
        <f t="shared" si="9"/>
        <v>13544.321979999999</v>
      </c>
    </row>
    <row r="124" spans="1:2" ht="15.75" thickBot="1" x14ac:dyDescent="0.25">
      <c r="A124" s="2" t="s">
        <v>61</v>
      </c>
      <c r="B124" s="305">
        <f t="shared" si="9"/>
        <v>5194.3128800000004</v>
      </c>
    </row>
    <row r="125" spans="1:2" ht="15" x14ac:dyDescent="0.2">
      <c r="A125" s="17" t="s">
        <v>62</v>
      </c>
      <c r="B125" s="305">
        <f t="shared" si="9"/>
        <v>72566.581070000015</v>
      </c>
    </row>
  </sheetData>
  <sortState xmlns:xlrd2="http://schemas.microsoft.com/office/spreadsheetml/2017/richdata2" ref="A93:B124">
    <sortCondition ref="A93:A124"/>
  </sortState>
  <mergeCells count="2">
    <mergeCell ref="A87:H87"/>
    <mergeCell ref="A90:H90"/>
  </mergeCells>
  <phoneticPr fontId="0" type="noConversion"/>
  <printOptions horizontalCentered="1"/>
  <pageMargins left="0.32" right="0.17" top="0.27" bottom="0.23" header="0" footer="0.23"/>
  <pageSetup scale="56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  <pageSetUpPr fitToPage="1"/>
  </sheetPr>
  <dimension ref="B1:Y82"/>
  <sheetViews>
    <sheetView showGridLines="0" zoomScaleNormal="100" zoomScaleSheetLayoutView="110" workbookViewId="0">
      <selection activeCell="Q23" sqref="Q23"/>
    </sheetView>
  </sheetViews>
  <sheetFormatPr defaultRowHeight="12.75" x14ac:dyDescent="0.2"/>
  <cols>
    <col min="3" max="3" width="22.42578125" customWidth="1"/>
    <col min="4" max="4" width="8.5703125" customWidth="1"/>
    <col min="5" max="6" width="10.140625" customWidth="1"/>
    <col min="7" max="7" width="13" customWidth="1"/>
    <col min="8" max="8" width="1.42578125" customWidth="1"/>
    <col min="9" max="9" width="13.28515625" customWidth="1"/>
    <col min="10" max="10" width="14" customWidth="1"/>
    <col min="11" max="11" width="8.85546875" customWidth="1"/>
    <col min="12" max="13" width="10.140625" customWidth="1"/>
    <col min="14" max="14" width="13.42578125" customWidth="1"/>
    <col min="17" max="17" width="10.28515625" customWidth="1"/>
    <col min="18" max="18" width="12.5703125" customWidth="1"/>
    <col min="19" max="19" width="12.7109375" customWidth="1"/>
    <col min="20" max="20" width="10.28515625" customWidth="1"/>
    <col min="22" max="22" width="10.85546875" customWidth="1"/>
    <col min="23" max="23" width="11.42578125" customWidth="1"/>
    <col min="24" max="24" width="11.140625" customWidth="1"/>
    <col min="25" max="25" width="9.5703125" customWidth="1"/>
  </cols>
  <sheetData>
    <row r="1" spans="2:25" ht="18" x14ac:dyDescent="0.25">
      <c r="B1" s="4" t="s">
        <v>437</v>
      </c>
    </row>
    <row r="2" spans="2:25" ht="18" x14ac:dyDescent="0.25">
      <c r="B2" s="5" t="s">
        <v>491</v>
      </c>
      <c r="G2" s="5" t="str">
        <f>'table 1 &amp; 2'!C2</f>
        <v>2025 Tax Year</v>
      </c>
    </row>
    <row r="3" spans="2:25" ht="18" x14ac:dyDescent="0.25">
      <c r="B3" s="5"/>
      <c r="Q3" s="559" t="s">
        <v>592</v>
      </c>
      <c r="R3" s="560"/>
      <c r="S3" s="560"/>
      <c r="T3" s="560"/>
      <c r="U3" s="560"/>
      <c r="V3" s="560"/>
      <c r="W3" s="560"/>
      <c r="X3" s="560"/>
      <c r="Y3" s="560"/>
    </row>
    <row r="4" spans="2:25" ht="21" thickBot="1" x14ac:dyDescent="0.35">
      <c r="B4" s="98" t="s">
        <v>446</v>
      </c>
      <c r="Q4" s="548" t="s">
        <v>525</v>
      </c>
      <c r="R4" s="429"/>
      <c r="S4" s="429"/>
      <c r="T4" s="429"/>
      <c r="U4" s="429"/>
      <c r="V4" s="429"/>
      <c r="W4" s="429"/>
      <c r="X4" s="429"/>
      <c r="Y4" s="429"/>
    </row>
    <row r="5" spans="2:25" ht="27" x14ac:dyDescent="0.3">
      <c r="B5" s="98" t="s">
        <v>502</v>
      </c>
      <c r="C5" s="7"/>
      <c r="D5" s="7"/>
      <c r="E5" s="7"/>
      <c r="F5" s="7"/>
      <c r="G5" s="98" t="str">
        <f>G2</f>
        <v>2025 Tax Year</v>
      </c>
      <c r="H5" s="7"/>
      <c r="I5" s="7"/>
      <c r="J5" s="7"/>
      <c r="K5" s="7"/>
      <c r="L5" s="7"/>
      <c r="M5" s="7"/>
      <c r="N5" s="7"/>
      <c r="Q5" s="543" t="s">
        <v>561</v>
      </c>
      <c r="R5" s="430" t="s">
        <v>503</v>
      </c>
      <c r="S5" s="430" t="s">
        <v>504</v>
      </c>
      <c r="T5" s="549" t="s">
        <v>567</v>
      </c>
      <c r="U5" s="429"/>
      <c r="V5" s="543" t="s">
        <v>564</v>
      </c>
      <c r="W5" s="430" t="s">
        <v>503</v>
      </c>
      <c r="X5" s="430" t="s">
        <v>504</v>
      </c>
      <c r="Y5" s="549" t="s">
        <v>567</v>
      </c>
    </row>
    <row r="6" spans="2:25" ht="13.5" thickBot="1" x14ac:dyDescent="0.25">
      <c r="B6" s="7"/>
      <c r="C6" s="7"/>
      <c r="D6" s="7"/>
      <c r="E6" s="71"/>
      <c r="F6" s="71"/>
      <c r="G6" s="7"/>
      <c r="H6" s="7"/>
      <c r="I6" s="7"/>
      <c r="J6" s="7"/>
      <c r="K6" s="7"/>
      <c r="N6" s="7"/>
      <c r="Q6" s="431"/>
      <c r="R6" s="432">
        <f>MIN(E9:E11,E14:E68,L9:L67)</f>
        <v>10.318</v>
      </c>
      <c r="S6" s="432">
        <f>MIN(F9:F11,F14:F68,M9:M67)</f>
        <v>14.933999999999999</v>
      </c>
      <c r="T6" s="433">
        <f>MIN(G9:G11,G14:G68,N9:N67)</f>
        <v>14.21</v>
      </c>
      <c r="U6" s="429"/>
      <c r="V6" s="431"/>
      <c r="W6" s="432">
        <f>MAX(E9:E11,E14:E68,L9:L67)</f>
        <v>48.323</v>
      </c>
      <c r="X6" s="432">
        <f>MAX(F9:F11,F14:F68,M9:M67)</f>
        <v>53.461999999999996</v>
      </c>
      <c r="Y6" s="595">
        <f>MAX(G9:G11,G14:G68,N9:N67)</f>
        <v>34.497</v>
      </c>
    </row>
    <row r="7" spans="2:25" x14ac:dyDescent="0.2">
      <c r="D7" s="50" t="s">
        <v>74</v>
      </c>
      <c r="E7" s="46"/>
      <c r="F7" s="46" t="s">
        <v>5</v>
      </c>
      <c r="G7" s="46" t="s">
        <v>30</v>
      </c>
      <c r="H7" s="49"/>
      <c r="K7" t="s">
        <v>74</v>
      </c>
      <c r="L7" s="46"/>
      <c r="M7" s="46" t="s">
        <v>5</v>
      </c>
      <c r="N7" s="46" t="s">
        <v>30</v>
      </c>
      <c r="P7" s="46"/>
      <c r="R7" s="580" t="s">
        <v>594</v>
      </c>
      <c r="S7" s="580" t="s">
        <v>594</v>
      </c>
      <c r="T7" s="580" t="s">
        <v>595</v>
      </c>
      <c r="W7" s="580" t="s">
        <v>76</v>
      </c>
      <c r="X7" s="580" t="s">
        <v>76</v>
      </c>
      <c r="Y7" s="596" t="s">
        <v>191</v>
      </c>
    </row>
    <row r="8" spans="2:25" ht="13.5" thickBot="1" x14ac:dyDescent="0.25">
      <c r="B8" s="47" t="s">
        <v>27</v>
      </c>
      <c r="C8" s="47" t="s">
        <v>75</v>
      </c>
      <c r="D8" s="63" t="s">
        <v>313</v>
      </c>
      <c r="E8" s="67" t="s">
        <v>9</v>
      </c>
      <c r="F8" s="67" t="s">
        <v>9</v>
      </c>
      <c r="G8" s="67" t="s">
        <v>425</v>
      </c>
      <c r="H8" s="68"/>
      <c r="I8" s="47" t="s">
        <v>27</v>
      </c>
      <c r="J8" s="47" t="s">
        <v>75</v>
      </c>
      <c r="K8" s="47" t="s">
        <v>313</v>
      </c>
      <c r="L8" s="67" t="s">
        <v>9</v>
      </c>
      <c r="M8" s="67" t="s">
        <v>9</v>
      </c>
      <c r="N8" s="67" t="s">
        <v>425</v>
      </c>
    </row>
    <row r="9" spans="2:25" x14ac:dyDescent="0.2">
      <c r="B9" s="52" t="s">
        <v>31</v>
      </c>
      <c r="C9" s="52" t="s">
        <v>76</v>
      </c>
      <c r="D9" s="52" t="s">
        <v>77</v>
      </c>
      <c r="E9" s="121">
        <v>48.323</v>
      </c>
      <c r="F9" s="121">
        <v>53.461999999999996</v>
      </c>
      <c r="G9" s="121"/>
      <c r="H9" s="57"/>
      <c r="I9" s="52" t="s">
        <v>38</v>
      </c>
      <c r="J9" s="52" t="s">
        <v>310</v>
      </c>
      <c r="K9" s="52" t="s">
        <v>288</v>
      </c>
      <c r="L9" s="121">
        <v>25.012999999999998</v>
      </c>
      <c r="M9" s="121">
        <v>28.325999999999997</v>
      </c>
      <c r="N9" s="121">
        <v>22.56</v>
      </c>
    </row>
    <row r="10" spans="2:25" x14ac:dyDescent="0.2">
      <c r="B10" s="6"/>
      <c r="C10" s="6" t="s">
        <v>82</v>
      </c>
      <c r="D10" s="6" t="s">
        <v>77</v>
      </c>
      <c r="E10" s="179">
        <v>38.705999999999996</v>
      </c>
      <c r="F10" s="179">
        <v>43.884</v>
      </c>
      <c r="G10" s="179"/>
      <c r="H10" s="51"/>
      <c r="I10" s="6" t="s">
        <v>83</v>
      </c>
      <c r="J10" s="6" t="s">
        <v>78</v>
      </c>
      <c r="K10" s="6" t="s">
        <v>79</v>
      </c>
      <c r="L10" s="179">
        <v>20.304000000000002</v>
      </c>
      <c r="M10" s="179">
        <v>27.082000000000001</v>
      </c>
      <c r="N10" s="179"/>
    </row>
    <row r="11" spans="2:25" x14ac:dyDescent="0.2">
      <c r="B11" s="52"/>
      <c r="C11" s="52" t="s">
        <v>86</v>
      </c>
      <c r="D11" s="52" t="s">
        <v>77</v>
      </c>
      <c r="E11" s="121">
        <v>31.183999999999997</v>
      </c>
      <c r="F11" s="121">
        <v>36.163000000000004</v>
      </c>
      <c r="G11" s="121"/>
      <c r="H11" s="57"/>
      <c r="I11" s="52"/>
      <c r="J11" s="52"/>
      <c r="K11" s="52" t="s">
        <v>84</v>
      </c>
      <c r="L11" s="121">
        <v>25.261999999999997</v>
      </c>
      <c r="M11" s="121">
        <v>28.562999999999995</v>
      </c>
      <c r="N11" s="121">
        <v>22.561999999999998</v>
      </c>
    </row>
    <row r="12" spans="2:25" x14ac:dyDescent="0.2">
      <c r="C12" t="s">
        <v>555</v>
      </c>
      <c r="D12" t="s">
        <v>91</v>
      </c>
      <c r="E12" s="129">
        <v>14.322999999999999</v>
      </c>
      <c r="F12" s="129">
        <v>19.975000000000001</v>
      </c>
      <c r="G12" s="129"/>
      <c r="H12" s="49"/>
      <c r="K12" t="s">
        <v>87</v>
      </c>
      <c r="L12" s="129">
        <v>13.164</v>
      </c>
      <c r="M12" s="129">
        <v>15.395</v>
      </c>
      <c r="N12" s="129">
        <v>14.852</v>
      </c>
    </row>
    <row r="13" spans="2:25" x14ac:dyDescent="0.2">
      <c r="B13" s="52"/>
      <c r="C13" s="52" t="s">
        <v>95</v>
      </c>
      <c r="D13" s="52" t="s">
        <v>96</v>
      </c>
      <c r="E13" s="65" t="s">
        <v>69</v>
      </c>
      <c r="F13" s="121">
        <v>45.44</v>
      </c>
      <c r="G13" s="121"/>
      <c r="H13" s="57"/>
      <c r="I13" s="52"/>
      <c r="J13" s="52"/>
      <c r="K13" s="52" t="s">
        <v>92</v>
      </c>
      <c r="L13" s="121">
        <v>23.324999999999999</v>
      </c>
      <c r="M13" s="121">
        <v>26.525999999999996</v>
      </c>
      <c r="N13" s="121">
        <v>19.059999999999999</v>
      </c>
    </row>
    <row r="14" spans="2:25" x14ac:dyDescent="0.2">
      <c r="C14" t="s">
        <v>100</v>
      </c>
      <c r="D14" t="s">
        <v>102</v>
      </c>
      <c r="E14" s="129" t="s">
        <v>69</v>
      </c>
      <c r="F14" s="129">
        <v>46.393999999999998</v>
      </c>
      <c r="G14" s="129"/>
      <c r="H14" s="49"/>
      <c r="I14" t="s">
        <v>39</v>
      </c>
      <c r="J14" t="s">
        <v>97</v>
      </c>
      <c r="K14" t="s">
        <v>98</v>
      </c>
      <c r="L14" s="129">
        <v>22.780999999999999</v>
      </c>
      <c r="M14" s="129">
        <v>28.794</v>
      </c>
      <c r="N14" s="129"/>
    </row>
    <row r="15" spans="2:25" x14ac:dyDescent="0.2">
      <c r="B15" s="52"/>
      <c r="C15" s="52" t="s">
        <v>536</v>
      </c>
      <c r="D15" s="333" t="s">
        <v>102</v>
      </c>
      <c r="E15" s="121">
        <v>38.215999999999994</v>
      </c>
      <c r="F15" s="121">
        <v>43.393999999999998</v>
      </c>
      <c r="G15" s="121"/>
      <c r="H15" s="57"/>
      <c r="I15" s="52"/>
      <c r="J15" s="52" t="s">
        <v>103</v>
      </c>
      <c r="K15" s="52" t="s">
        <v>104</v>
      </c>
      <c r="L15" s="121">
        <v>24.335000000000001</v>
      </c>
      <c r="M15" s="121">
        <v>29.811</v>
      </c>
      <c r="N15" s="121"/>
    </row>
    <row r="16" spans="2:25" x14ac:dyDescent="0.2">
      <c r="D16" t="s">
        <v>108</v>
      </c>
      <c r="E16" s="129">
        <v>27.747</v>
      </c>
      <c r="F16" s="129">
        <v>31.024000000000001</v>
      </c>
      <c r="G16" s="129"/>
      <c r="H16" s="49"/>
      <c r="J16" t="s">
        <v>109</v>
      </c>
      <c r="K16" t="s">
        <v>110</v>
      </c>
      <c r="L16" s="129">
        <v>24.603999999999999</v>
      </c>
      <c r="M16" s="129">
        <v>29.811</v>
      </c>
      <c r="N16" s="129"/>
    </row>
    <row r="17" spans="2:14" x14ac:dyDescent="0.2">
      <c r="B17" s="52"/>
      <c r="C17" s="52"/>
      <c r="D17" s="52" t="s">
        <v>113</v>
      </c>
      <c r="E17" s="121">
        <v>26.747</v>
      </c>
      <c r="F17" s="121">
        <v>30.024000000000001</v>
      </c>
      <c r="G17" s="121"/>
      <c r="H17" s="57"/>
      <c r="I17" s="52"/>
      <c r="J17" s="52" t="s">
        <v>114</v>
      </c>
      <c r="K17" s="52" t="s">
        <v>115</v>
      </c>
      <c r="L17" s="121">
        <v>22.718</v>
      </c>
      <c r="M17" s="121">
        <v>28.811</v>
      </c>
      <c r="N17" s="121"/>
    </row>
    <row r="18" spans="2:14" x14ac:dyDescent="0.2">
      <c r="B18" t="s">
        <v>32</v>
      </c>
      <c r="C18" t="s">
        <v>118</v>
      </c>
      <c r="D18" t="s">
        <v>119</v>
      </c>
      <c r="E18" s="129">
        <v>18.660000000000004</v>
      </c>
      <c r="F18" s="129">
        <v>17.228999999999999</v>
      </c>
      <c r="G18" s="129"/>
      <c r="H18" s="49"/>
      <c r="K18" t="s">
        <v>80</v>
      </c>
      <c r="L18" s="129">
        <v>24.937999999999999</v>
      </c>
      <c r="M18" s="129">
        <v>29.969000000000001</v>
      </c>
      <c r="N18" s="129">
        <v>22.969000000000001</v>
      </c>
    </row>
    <row r="19" spans="2:14" x14ac:dyDescent="0.2">
      <c r="B19" s="52"/>
      <c r="C19" s="52"/>
      <c r="D19" s="52" t="s">
        <v>121</v>
      </c>
      <c r="E19" s="121">
        <v>17.435000000000002</v>
      </c>
      <c r="F19" s="121">
        <v>16.131</v>
      </c>
      <c r="G19" s="531"/>
      <c r="H19" s="57"/>
      <c r="I19" s="52"/>
      <c r="J19" s="52"/>
      <c r="K19" s="52" t="s">
        <v>122</v>
      </c>
      <c r="L19" s="121">
        <v>19.670999999999999</v>
      </c>
      <c r="M19" s="121">
        <v>24.585999999999999</v>
      </c>
      <c r="N19" s="121">
        <v>22.143000000000001</v>
      </c>
    </row>
    <row r="20" spans="2:14" x14ac:dyDescent="0.2">
      <c r="D20" t="s">
        <v>126</v>
      </c>
      <c r="E20" s="129">
        <v>17.651</v>
      </c>
      <c r="F20" s="129">
        <v>15.752000000000001</v>
      </c>
      <c r="G20" s="129"/>
      <c r="H20" s="49"/>
      <c r="I20" t="s">
        <v>40</v>
      </c>
      <c r="J20" t="s">
        <v>127</v>
      </c>
      <c r="K20" t="s">
        <v>128</v>
      </c>
      <c r="L20" s="129">
        <v>28.987000000000002</v>
      </c>
      <c r="M20" s="129">
        <v>32.700000000000003</v>
      </c>
      <c r="N20" s="129"/>
    </row>
    <row r="21" spans="2:14" x14ac:dyDescent="0.2">
      <c r="B21" s="52"/>
      <c r="C21" s="52"/>
      <c r="D21" s="52" t="s">
        <v>132</v>
      </c>
      <c r="E21" s="121">
        <v>17.651</v>
      </c>
      <c r="F21" s="121">
        <v>15.752000000000001</v>
      </c>
      <c r="G21" s="531"/>
      <c r="H21" s="57"/>
      <c r="I21" s="52"/>
      <c r="J21" s="52" t="s">
        <v>133</v>
      </c>
      <c r="K21" s="52" t="s">
        <v>134</v>
      </c>
      <c r="L21" s="121">
        <v>27.734000000000002</v>
      </c>
      <c r="M21" s="121">
        <v>29.994</v>
      </c>
      <c r="N21" s="121"/>
    </row>
    <row r="22" spans="2:14" x14ac:dyDescent="0.2">
      <c r="B22" t="s">
        <v>33</v>
      </c>
      <c r="C22" t="s">
        <v>138</v>
      </c>
      <c r="D22" t="s">
        <v>139</v>
      </c>
      <c r="E22" s="129">
        <v>26.152999999999999</v>
      </c>
      <c r="F22" s="129">
        <v>30.967999999999996</v>
      </c>
      <c r="G22" s="129"/>
      <c r="H22" s="49"/>
      <c r="K22" t="s">
        <v>150</v>
      </c>
      <c r="L22" s="129">
        <v>25.493000000000002</v>
      </c>
      <c r="M22" s="129">
        <v>28.832999999999998</v>
      </c>
      <c r="N22" s="129"/>
    </row>
    <row r="23" spans="2:14" x14ac:dyDescent="0.2">
      <c r="B23" s="52"/>
      <c r="C23" s="52" t="s">
        <v>144</v>
      </c>
      <c r="D23" s="52" t="s">
        <v>145</v>
      </c>
      <c r="E23" s="121">
        <v>24.29</v>
      </c>
      <c r="F23" s="121">
        <v>29.742999999999999</v>
      </c>
      <c r="G23" s="531"/>
      <c r="H23" s="57"/>
      <c r="I23" s="52"/>
      <c r="J23" s="52"/>
      <c r="K23" s="52" t="s">
        <v>154</v>
      </c>
      <c r="L23" s="121">
        <v>21.084</v>
      </c>
      <c r="M23" s="121">
        <v>23.344000000000001</v>
      </c>
      <c r="N23" s="121"/>
    </row>
    <row r="24" spans="2:14" x14ac:dyDescent="0.2">
      <c r="C24" t="s">
        <v>148</v>
      </c>
      <c r="D24" t="s">
        <v>149</v>
      </c>
      <c r="E24" s="129">
        <v>25.136000000000003</v>
      </c>
      <c r="F24" s="129">
        <v>30.908999999999995</v>
      </c>
      <c r="G24" s="129"/>
      <c r="H24" s="49"/>
      <c r="I24" t="s">
        <v>41</v>
      </c>
      <c r="J24" t="s">
        <v>140</v>
      </c>
      <c r="K24" t="s">
        <v>141</v>
      </c>
      <c r="L24" s="129">
        <v>18.450999999999997</v>
      </c>
      <c r="M24" s="129">
        <v>21.512</v>
      </c>
      <c r="N24" s="129"/>
    </row>
    <row r="25" spans="2:14" x14ac:dyDescent="0.2">
      <c r="B25" s="52"/>
      <c r="C25" s="52" t="s">
        <v>153</v>
      </c>
      <c r="D25" s="52" t="s">
        <v>319</v>
      </c>
      <c r="E25" s="121">
        <v>21.331</v>
      </c>
      <c r="F25" s="121">
        <v>26.402999999999999</v>
      </c>
      <c r="G25" s="531"/>
      <c r="H25" s="58"/>
      <c r="I25" s="8"/>
      <c r="J25" s="52" t="s">
        <v>146</v>
      </c>
      <c r="K25" s="52" t="s">
        <v>147</v>
      </c>
      <c r="L25" s="121">
        <v>23.143000000000001</v>
      </c>
      <c r="M25" s="121">
        <v>26.588000000000001</v>
      </c>
      <c r="N25" s="121"/>
    </row>
    <row r="26" spans="2:14" x14ac:dyDescent="0.2">
      <c r="D26" t="s">
        <v>320</v>
      </c>
      <c r="E26" s="129">
        <v>20.64</v>
      </c>
      <c r="F26" s="129">
        <v>25.275999999999996</v>
      </c>
      <c r="G26" s="129">
        <v>20.845999999999997</v>
      </c>
      <c r="H26" s="59"/>
      <c r="K26" t="s">
        <v>156</v>
      </c>
      <c r="L26" s="129">
        <v>17.997999999999998</v>
      </c>
      <c r="M26" s="129">
        <v>20.286999999999999</v>
      </c>
      <c r="N26" s="129">
        <v>19.573999999999998</v>
      </c>
    </row>
    <row r="27" spans="2:14" x14ac:dyDescent="0.2">
      <c r="B27" s="52"/>
      <c r="C27" s="52"/>
      <c r="D27" s="52" t="s">
        <v>158</v>
      </c>
      <c r="E27" s="121">
        <v>25.157</v>
      </c>
      <c r="F27" s="121">
        <v>30.108999999999998</v>
      </c>
      <c r="G27" s="121">
        <v>23.173999999999999</v>
      </c>
      <c r="H27" s="58"/>
      <c r="I27" s="52"/>
      <c r="J27" s="52"/>
      <c r="K27" s="52" t="s">
        <v>159</v>
      </c>
      <c r="L27" s="121">
        <v>22.774000000000001</v>
      </c>
      <c r="M27" s="121">
        <v>25.363</v>
      </c>
      <c r="N27" s="121">
        <v>24.363</v>
      </c>
    </row>
    <row r="28" spans="2:14" x14ac:dyDescent="0.2">
      <c r="D28" t="s">
        <v>160</v>
      </c>
      <c r="E28" s="129">
        <v>24.975000000000001</v>
      </c>
      <c r="F28" s="129">
        <v>29.717999999999996</v>
      </c>
      <c r="G28" s="129">
        <v>25.209</v>
      </c>
      <c r="H28" s="59"/>
      <c r="K28" t="s">
        <v>161</v>
      </c>
      <c r="L28" s="129">
        <v>19.954999999999998</v>
      </c>
      <c r="M28" s="129">
        <v>22.411000000000001</v>
      </c>
      <c r="N28" s="129"/>
    </row>
    <row r="29" spans="2:14" x14ac:dyDescent="0.2">
      <c r="B29" s="52"/>
      <c r="C29" s="52"/>
      <c r="D29" s="52" t="s">
        <v>164</v>
      </c>
      <c r="E29" s="121">
        <v>24.738999999999997</v>
      </c>
      <c r="F29" s="121">
        <v>29.571999999999996</v>
      </c>
      <c r="G29" s="121">
        <v>20.527000000000001</v>
      </c>
      <c r="H29" s="58"/>
      <c r="I29" s="52" t="s">
        <v>42</v>
      </c>
      <c r="J29" s="52" t="s">
        <v>165</v>
      </c>
      <c r="K29" s="52" t="s">
        <v>98</v>
      </c>
      <c r="L29" s="121">
        <v>23.96</v>
      </c>
      <c r="M29" s="121">
        <v>25.65</v>
      </c>
      <c r="N29" s="121"/>
    </row>
    <row r="30" spans="2:14" x14ac:dyDescent="0.2">
      <c r="D30" s="50">
        <v>14</v>
      </c>
      <c r="E30" s="129">
        <v>14.702</v>
      </c>
      <c r="F30" s="129">
        <v>20.189999999999998</v>
      </c>
      <c r="G30" s="129"/>
      <c r="H30" s="49"/>
      <c r="J30" t="s">
        <v>167</v>
      </c>
      <c r="K30" t="s">
        <v>168</v>
      </c>
      <c r="L30" s="129">
        <v>22.289000000000001</v>
      </c>
      <c r="M30" s="129">
        <v>24.625999999999998</v>
      </c>
      <c r="N30" s="129"/>
    </row>
    <row r="31" spans="2:14" x14ac:dyDescent="0.2">
      <c r="B31" s="52"/>
      <c r="C31" s="52"/>
      <c r="D31" s="52" t="s">
        <v>170</v>
      </c>
      <c r="E31" s="121">
        <v>10.318</v>
      </c>
      <c r="F31" s="121">
        <v>14.933999999999999</v>
      </c>
      <c r="G31" s="121"/>
      <c r="H31" s="58"/>
      <c r="I31" s="52"/>
      <c r="J31" s="52"/>
      <c r="K31" s="52" t="s">
        <v>80</v>
      </c>
      <c r="L31" s="121">
        <v>21.064</v>
      </c>
      <c r="M31" s="121">
        <v>22.424999999999997</v>
      </c>
      <c r="N31" s="121"/>
    </row>
    <row r="32" spans="2:14" x14ac:dyDescent="0.2">
      <c r="D32" s="50">
        <v>28</v>
      </c>
      <c r="E32" s="129" t="s">
        <v>69</v>
      </c>
      <c r="F32" s="129" t="s">
        <v>69</v>
      </c>
      <c r="G32" s="129">
        <v>14.21</v>
      </c>
      <c r="H32" s="49"/>
      <c r="K32" t="s">
        <v>172</v>
      </c>
      <c r="L32" s="129">
        <v>21.064</v>
      </c>
      <c r="M32" s="129">
        <v>22.424999999999997</v>
      </c>
      <c r="N32" s="129"/>
    </row>
    <row r="33" spans="2:14" x14ac:dyDescent="0.2">
      <c r="B33" s="52"/>
      <c r="C33" s="52"/>
      <c r="D33" s="52" t="s">
        <v>175</v>
      </c>
      <c r="E33" s="121">
        <v>16.904</v>
      </c>
      <c r="F33" s="121">
        <v>23.29</v>
      </c>
      <c r="G33" s="531"/>
      <c r="H33" s="57"/>
      <c r="I33" s="52"/>
      <c r="J33" s="52"/>
      <c r="K33" s="126" t="s">
        <v>321</v>
      </c>
      <c r="L33" s="121">
        <v>14.315999999999999</v>
      </c>
      <c r="M33" s="121">
        <v>15.71</v>
      </c>
      <c r="N33" s="121"/>
    </row>
    <row r="34" spans="2:14" x14ac:dyDescent="0.2">
      <c r="B34" t="s">
        <v>34</v>
      </c>
      <c r="C34" t="s">
        <v>179</v>
      </c>
      <c r="D34" t="s">
        <v>180</v>
      </c>
      <c r="E34" s="129">
        <v>34.533999999999999</v>
      </c>
      <c r="F34" s="129">
        <v>38.174999999999997</v>
      </c>
      <c r="G34" s="129"/>
      <c r="H34" s="49"/>
      <c r="I34" t="s">
        <v>43</v>
      </c>
      <c r="J34" t="s">
        <v>181</v>
      </c>
      <c r="K34" t="s">
        <v>98</v>
      </c>
      <c r="L34" s="129">
        <v>30.498000000000001</v>
      </c>
      <c r="M34" s="129">
        <v>38.332999999999998</v>
      </c>
      <c r="N34" s="129"/>
    </row>
    <row r="35" spans="2:14" x14ac:dyDescent="0.2">
      <c r="B35" s="52"/>
      <c r="C35" s="52" t="s">
        <v>186</v>
      </c>
      <c r="D35" s="52" t="s">
        <v>187</v>
      </c>
      <c r="E35" s="121">
        <v>32.351999999999997</v>
      </c>
      <c r="F35" s="121">
        <v>40.769999999999996</v>
      </c>
      <c r="G35" s="531"/>
      <c r="H35" s="57"/>
      <c r="I35" s="52"/>
      <c r="J35" s="52" t="s">
        <v>188</v>
      </c>
      <c r="K35" s="52" t="s">
        <v>128</v>
      </c>
      <c r="L35" s="121">
        <v>24.486000000000001</v>
      </c>
      <c r="M35" s="121">
        <v>32.723999999999997</v>
      </c>
      <c r="N35" s="121">
        <v>32.723999999999997</v>
      </c>
    </row>
    <row r="36" spans="2:14" x14ac:dyDescent="0.2">
      <c r="D36" t="s">
        <v>190</v>
      </c>
      <c r="E36" s="129">
        <v>29.81</v>
      </c>
      <c r="F36" s="129">
        <v>33.119999999999997</v>
      </c>
      <c r="G36" s="129"/>
      <c r="H36" s="49"/>
      <c r="J36" t="s">
        <v>191</v>
      </c>
      <c r="K36" t="s">
        <v>192</v>
      </c>
      <c r="L36" s="129">
        <v>26.989000000000001</v>
      </c>
      <c r="M36" s="129">
        <v>34.497</v>
      </c>
      <c r="N36" s="129">
        <v>34.497</v>
      </c>
    </row>
    <row r="37" spans="2:14" x14ac:dyDescent="0.2">
      <c r="B37" s="52"/>
      <c r="C37" s="52"/>
      <c r="D37" s="52" t="s">
        <v>196</v>
      </c>
      <c r="E37" s="121">
        <v>20.425000000000001</v>
      </c>
      <c r="F37" s="121">
        <v>22.67</v>
      </c>
      <c r="G37" s="531"/>
      <c r="H37" s="57"/>
      <c r="I37" s="52"/>
      <c r="J37" s="52" t="s">
        <v>197</v>
      </c>
      <c r="K37" s="52" t="s">
        <v>198</v>
      </c>
      <c r="L37" s="121">
        <v>21.638000000000002</v>
      </c>
      <c r="M37" s="121">
        <v>29.725000000000001</v>
      </c>
      <c r="N37" s="121">
        <v>29.725000000000001</v>
      </c>
    </row>
    <row r="38" spans="2:14" x14ac:dyDescent="0.2">
      <c r="B38" t="s">
        <v>35</v>
      </c>
      <c r="C38" t="s">
        <v>201</v>
      </c>
      <c r="D38" t="s">
        <v>180</v>
      </c>
      <c r="E38" s="129">
        <v>26.638000000000002</v>
      </c>
      <c r="F38" s="129">
        <v>31.597999999999999</v>
      </c>
      <c r="G38" s="129"/>
      <c r="H38" s="49"/>
      <c r="J38" t="s">
        <v>202</v>
      </c>
      <c r="K38" t="s">
        <v>203</v>
      </c>
      <c r="L38" s="129">
        <v>25.488</v>
      </c>
      <c r="M38" s="129">
        <v>32.444000000000003</v>
      </c>
      <c r="N38" s="129"/>
    </row>
    <row r="39" spans="2:14" x14ac:dyDescent="0.2">
      <c r="B39" s="52"/>
      <c r="C39" s="52" t="s">
        <v>204</v>
      </c>
      <c r="D39" s="52" t="s">
        <v>187</v>
      </c>
      <c r="E39" s="121">
        <v>22.496000000000002</v>
      </c>
      <c r="F39" s="121">
        <v>26.86</v>
      </c>
      <c r="G39" s="531"/>
      <c r="H39" s="57"/>
      <c r="I39" s="52"/>
      <c r="J39" s="52"/>
      <c r="K39" s="52" t="s">
        <v>80</v>
      </c>
      <c r="L39" s="121">
        <v>26.948</v>
      </c>
      <c r="M39" s="121">
        <v>32.683</v>
      </c>
      <c r="N39" s="121">
        <v>32.683</v>
      </c>
    </row>
    <row r="40" spans="2:14" x14ac:dyDescent="0.2">
      <c r="C40" t="s">
        <v>206</v>
      </c>
      <c r="D40" t="s">
        <v>207</v>
      </c>
      <c r="E40" s="129">
        <v>30.060000000000002</v>
      </c>
      <c r="F40" s="129">
        <v>35.549999999999997</v>
      </c>
      <c r="G40" s="129"/>
      <c r="H40" s="49"/>
      <c r="K40" t="s">
        <v>150</v>
      </c>
      <c r="L40" s="129">
        <v>19.248000000000001</v>
      </c>
      <c r="M40" s="129">
        <v>25.073999999999998</v>
      </c>
      <c r="N40" s="129">
        <v>25.073999999999998</v>
      </c>
    </row>
    <row r="41" spans="2:14" x14ac:dyDescent="0.2">
      <c r="B41" s="52"/>
      <c r="C41" s="52" t="s">
        <v>210</v>
      </c>
      <c r="D41" s="52" t="s">
        <v>211</v>
      </c>
      <c r="E41" s="121">
        <v>27.387</v>
      </c>
      <c r="F41" s="121">
        <v>31.573</v>
      </c>
      <c r="G41" s="531"/>
      <c r="H41" s="57"/>
      <c r="I41" s="52"/>
      <c r="J41" s="52"/>
      <c r="K41" s="52" t="s">
        <v>212</v>
      </c>
      <c r="L41" s="121">
        <v>23.155000000000001</v>
      </c>
      <c r="M41" s="121">
        <v>28.942</v>
      </c>
      <c r="N41" s="121">
        <v>28.942</v>
      </c>
    </row>
    <row r="42" spans="2:14" x14ac:dyDescent="0.2">
      <c r="C42" t="s">
        <v>216</v>
      </c>
      <c r="D42" t="s">
        <v>217</v>
      </c>
      <c r="E42" s="129">
        <v>33.031999999999996</v>
      </c>
      <c r="F42" s="129">
        <v>38.028999999999996</v>
      </c>
      <c r="G42" s="129"/>
      <c r="H42" s="49"/>
      <c r="K42" t="s">
        <v>123</v>
      </c>
      <c r="L42" s="129">
        <v>16.369</v>
      </c>
      <c r="M42" s="129">
        <v>22.074999999999999</v>
      </c>
      <c r="N42" s="129">
        <v>22.074999999999999</v>
      </c>
    </row>
    <row r="43" spans="2:14" x14ac:dyDescent="0.2">
      <c r="B43" s="52"/>
      <c r="C43" s="52" t="s">
        <v>219</v>
      </c>
      <c r="D43" s="52" t="s">
        <v>220</v>
      </c>
      <c r="E43" s="121">
        <v>35.581000000000003</v>
      </c>
      <c r="F43" s="121">
        <v>40.103999999999999</v>
      </c>
      <c r="G43" s="531"/>
      <c r="H43" s="58"/>
      <c r="I43" s="52"/>
      <c r="J43" s="52"/>
      <c r="K43" s="52" t="s">
        <v>221</v>
      </c>
      <c r="L43" s="121">
        <v>22.498000000000001</v>
      </c>
      <c r="M43" s="121">
        <v>28.219000000000001</v>
      </c>
      <c r="N43" s="121">
        <v>28.219000000000001</v>
      </c>
    </row>
    <row r="44" spans="2:14" x14ac:dyDescent="0.2">
      <c r="D44" t="s">
        <v>225</v>
      </c>
      <c r="E44" s="129">
        <v>20.723000000000003</v>
      </c>
      <c r="F44" s="129">
        <v>23.948</v>
      </c>
      <c r="G44" s="129">
        <v>23.948</v>
      </c>
      <c r="H44" s="59"/>
      <c r="I44" t="s">
        <v>44</v>
      </c>
      <c r="J44" t="s">
        <v>226</v>
      </c>
      <c r="K44" t="s">
        <v>141</v>
      </c>
      <c r="L44" s="129">
        <v>30.193999999999999</v>
      </c>
      <c r="M44" s="129">
        <v>30.256</v>
      </c>
      <c r="N44" s="129"/>
    </row>
    <row r="45" spans="2:14" x14ac:dyDescent="0.2">
      <c r="B45" s="52"/>
      <c r="C45" s="52"/>
      <c r="D45" s="52" t="s">
        <v>229</v>
      </c>
      <c r="E45" s="121">
        <v>20.995999999999999</v>
      </c>
      <c r="F45" s="121">
        <v>23.922999999999998</v>
      </c>
      <c r="G45" s="121">
        <v>23.922999999999998</v>
      </c>
      <c r="H45" s="58"/>
      <c r="I45" s="278"/>
      <c r="J45" s="278" t="s">
        <v>230</v>
      </c>
      <c r="K45" s="278" t="s">
        <v>231</v>
      </c>
      <c r="L45" s="533">
        <v>31.464000000000002</v>
      </c>
      <c r="M45" s="533">
        <v>35.622</v>
      </c>
      <c r="N45" s="534"/>
    </row>
    <row r="46" spans="2:14" x14ac:dyDescent="0.2">
      <c r="D46" t="s">
        <v>113</v>
      </c>
      <c r="E46" s="129">
        <v>26.638999999999999</v>
      </c>
      <c r="F46" s="129">
        <v>30.378999999999998</v>
      </c>
      <c r="G46" s="129"/>
      <c r="H46" s="49"/>
      <c r="J46" t="s">
        <v>233</v>
      </c>
      <c r="K46" t="s">
        <v>209</v>
      </c>
      <c r="L46" s="129">
        <v>24.954000000000001</v>
      </c>
      <c r="M46" s="129">
        <v>26.445</v>
      </c>
      <c r="N46" s="118"/>
    </row>
    <row r="47" spans="2:14" x14ac:dyDescent="0.2">
      <c r="B47" s="52"/>
      <c r="C47" s="52"/>
      <c r="D47" s="52" t="s">
        <v>236</v>
      </c>
      <c r="E47" s="121">
        <v>28.77</v>
      </c>
      <c r="F47" s="121">
        <v>32.454000000000001</v>
      </c>
      <c r="G47" s="531"/>
      <c r="H47" s="57"/>
      <c r="I47" s="278"/>
      <c r="J47" s="278" t="s">
        <v>237</v>
      </c>
      <c r="K47" s="278" t="s">
        <v>224</v>
      </c>
      <c r="L47" s="533">
        <v>22.701000000000001</v>
      </c>
      <c r="M47" s="533">
        <v>24.366000000000003</v>
      </c>
      <c r="N47" s="534"/>
    </row>
    <row r="48" spans="2:14" x14ac:dyDescent="0.2">
      <c r="D48" s="50">
        <v>35</v>
      </c>
      <c r="E48" s="129">
        <v>21.000999999999998</v>
      </c>
      <c r="F48" s="129">
        <v>23.872999999999998</v>
      </c>
      <c r="G48" s="129"/>
      <c r="H48" s="49"/>
      <c r="J48" t="s">
        <v>241</v>
      </c>
      <c r="K48" t="s">
        <v>203</v>
      </c>
      <c r="L48" s="129">
        <v>19.352</v>
      </c>
      <c r="M48" s="129">
        <v>22.310000000000002</v>
      </c>
      <c r="N48" s="118"/>
    </row>
    <row r="49" spans="2:14" x14ac:dyDescent="0.2">
      <c r="B49" s="52" t="s">
        <v>36</v>
      </c>
      <c r="C49" s="52" t="s">
        <v>244</v>
      </c>
      <c r="D49" s="52" t="s">
        <v>119</v>
      </c>
      <c r="E49" s="121">
        <v>25.266999999999999</v>
      </c>
      <c r="F49" s="121">
        <v>23.109000000000002</v>
      </c>
      <c r="G49" s="531"/>
      <c r="H49" s="57"/>
      <c r="I49" s="278"/>
      <c r="J49" s="278" t="s">
        <v>226</v>
      </c>
      <c r="K49" s="278" t="s">
        <v>554</v>
      </c>
      <c r="L49" s="533">
        <v>23.315000000000001</v>
      </c>
      <c r="M49" s="533">
        <v>24.175000000000001</v>
      </c>
      <c r="N49" s="534"/>
    </row>
    <row r="50" spans="2:14" x14ac:dyDescent="0.2">
      <c r="C50" t="s">
        <v>248</v>
      </c>
      <c r="D50" t="s">
        <v>249</v>
      </c>
      <c r="E50" s="129">
        <v>22.751000000000001</v>
      </c>
      <c r="F50" s="129">
        <v>21.254000000000001</v>
      </c>
      <c r="G50" s="129"/>
      <c r="H50" s="49"/>
      <c r="K50" t="s">
        <v>245</v>
      </c>
      <c r="L50" s="129">
        <v>24.155000000000001</v>
      </c>
      <c r="M50" s="129">
        <v>25.966000000000001</v>
      </c>
      <c r="N50" s="118"/>
    </row>
    <row r="51" spans="2:14" x14ac:dyDescent="0.2">
      <c r="B51" s="52"/>
      <c r="C51" s="52" t="s">
        <v>252</v>
      </c>
      <c r="D51" s="52" t="s">
        <v>77</v>
      </c>
      <c r="E51" s="121">
        <v>19.548999999999999</v>
      </c>
      <c r="F51" s="121">
        <v>18.412000000000003</v>
      </c>
      <c r="G51" s="531"/>
      <c r="H51" s="57"/>
      <c r="I51" s="278"/>
      <c r="J51" s="278"/>
      <c r="K51" s="278" t="s">
        <v>232</v>
      </c>
      <c r="L51" s="533">
        <v>23.228000000000002</v>
      </c>
      <c r="M51" s="533">
        <v>26.039000000000001</v>
      </c>
      <c r="N51" s="534"/>
    </row>
    <row r="52" spans="2:14" x14ac:dyDescent="0.2">
      <c r="C52" t="s">
        <v>255</v>
      </c>
      <c r="D52" t="s">
        <v>256</v>
      </c>
      <c r="E52" s="129">
        <v>27.104999999999997</v>
      </c>
      <c r="F52" s="129">
        <v>27.088999999999999</v>
      </c>
      <c r="G52" s="129"/>
      <c r="H52" s="49"/>
      <c r="K52" t="s">
        <v>240</v>
      </c>
      <c r="L52" s="129">
        <v>23.269000000000002</v>
      </c>
      <c r="M52" s="129">
        <v>25.761000000000003</v>
      </c>
      <c r="N52" s="118"/>
    </row>
    <row r="53" spans="2:14" x14ac:dyDescent="0.2">
      <c r="B53" s="52"/>
      <c r="C53" s="52"/>
      <c r="D53" s="52" t="s">
        <v>121</v>
      </c>
      <c r="E53" s="121">
        <v>20.683</v>
      </c>
      <c r="F53" s="121">
        <v>18.738</v>
      </c>
      <c r="G53" s="531"/>
      <c r="H53" s="57"/>
      <c r="I53" s="278"/>
      <c r="J53" s="278"/>
      <c r="K53" s="278">
        <v>20</v>
      </c>
      <c r="L53" s="533">
        <v>22.713000000000001</v>
      </c>
      <c r="M53" s="533">
        <v>25.240000000000002</v>
      </c>
      <c r="N53" s="534"/>
    </row>
    <row r="54" spans="2:14" x14ac:dyDescent="0.2">
      <c r="D54" t="s">
        <v>263</v>
      </c>
      <c r="E54" s="129">
        <v>20.817</v>
      </c>
      <c r="F54" s="129">
        <v>19.029</v>
      </c>
      <c r="G54" s="129"/>
      <c r="H54" s="49"/>
      <c r="K54" t="s">
        <v>221</v>
      </c>
      <c r="L54" s="129">
        <v>30.145000000000003</v>
      </c>
      <c r="M54" s="129">
        <v>32.753999999999998</v>
      </c>
      <c r="N54" s="118"/>
    </row>
    <row r="55" spans="2:14" x14ac:dyDescent="0.2">
      <c r="B55" s="52"/>
      <c r="C55" s="52"/>
      <c r="D55" s="52" t="s">
        <v>102</v>
      </c>
      <c r="E55" s="121">
        <v>17.530999999999999</v>
      </c>
      <c r="F55" s="121">
        <v>16.187000000000001</v>
      </c>
      <c r="G55" s="531"/>
      <c r="H55" s="57"/>
      <c r="I55" s="278" t="s">
        <v>45</v>
      </c>
      <c r="J55" s="278" t="s">
        <v>45</v>
      </c>
      <c r="K55" s="278">
        <v>1</v>
      </c>
      <c r="L55" s="533">
        <v>23.736999999999998</v>
      </c>
      <c r="M55" s="533">
        <v>29.207000000000001</v>
      </c>
      <c r="N55" s="534"/>
    </row>
    <row r="56" spans="2:14" x14ac:dyDescent="0.2">
      <c r="D56" t="s">
        <v>268</v>
      </c>
      <c r="E56" s="129">
        <v>20.884999999999998</v>
      </c>
      <c r="F56" s="129">
        <v>19.510999999999999</v>
      </c>
      <c r="G56" s="129"/>
      <c r="H56" s="49"/>
      <c r="I56" t="s">
        <v>46</v>
      </c>
      <c r="J56" t="s">
        <v>265</v>
      </c>
      <c r="K56" t="s">
        <v>98</v>
      </c>
      <c r="L56" s="129">
        <v>27.086000000000002</v>
      </c>
      <c r="M56" s="129">
        <v>28.206999999999997</v>
      </c>
      <c r="N56" s="118"/>
    </row>
    <row r="57" spans="2:14" x14ac:dyDescent="0.2">
      <c r="B57" s="52" t="s">
        <v>271</v>
      </c>
      <c r="C57" s="52" t="s">
        <v>272</v>
      </c>
      <c r="D57" s="52" t="s">
        <v>273</v>
      </c>
      <c r="E57" s="121">
        <v>25.007999999999999</v>
      </c>
      <c r="F57" s="121">
        <v>25.130000000000003</v>
      </c>
      <c r="G57" s="531"/>
      <c r="H57" s="57"/>
      <c r="I57" s="278"/>
      <c r="J57" s="278" t="s">
        <v>269</v>
      </c>
      <c r="K57" s="278" t="s">
        <v>168</v>
      </c>
      <c r="L57" s="533">
        <v>23.725000000000001</v>
      </c>
      <c r="M57" s="533">
        <v>28.273</v>
      </c>
      <c r="N57" s="534"/>
    </row>
    <row r="58" spans="2:14" x14ac:dyDescent="0.2">
      <c r="D58" t="s">
        <v>164</v>
      </c>
      <c r="E58" s="129">
        <v>23.067999999999998</v>
      </c>
      <c r="F58" s="129">
        <v>22.905000000000001</v>
      </c>
      <c r="G58" s="129"/>
      <c r="H58" s="49"/>
      <c r="K58" t="s">
        <v>80</v>
      </c>
      <c r="L58" s="129">
        <v>21.295000000000002</v>
      </c>
      <c r="M58" s="129">
        <v>22.465</v>
      </c>
      <c r="N58" s="118"/>
    </row>
    <row r="59" spans="2:14" x14ac:dyDescent="0.2">
      <c r="B59" s="52" t="s">
        <v>37</v>
      </c>
      <c r="C59" s="52" t="s">
        <v>279</v>
      </c>
      <c r="D59" s="52" t="s">
        <v>280</v>
      </c>
      <c r="E59" s="121">
        <v>30.287000000000003</v>
      </c>
      <c r="F59" s="121">
        <v>33.398999999999994</v>
      </c>
      <c r="G59" s="531"/>
      <c r="H59" s="57"/>
      <c r="I59" s="278" t="s">
        <v>47</v>
      </c>
      <c r="J59" s="278" t="s">
        <v>276</v>
      </c>
      <c r="K59" s="278" t="s">
        <v>98</v>
      </c>
      <c r="L59" s="533">
        <v>34.384</v>
      </c>
      <c r="M59" s="533">
        <v>40.149000000000001</v>
      </c>
      <c r="N59" s="534"/>
    </row>
    <row r="60" spans="2:14" x14ac:dyDescent="0.2">
      <c r="C60" t="s">
        <v>282</v>
      </c>
      <c r="D60" t="s">
        <v>283</v>
      </c>
      <c r="E60" s="129">
        <v>24.064999999999998</v>
      </c>
      <c r="F60" s="129">
        <v>28.148999999999997</v>
      </c>
      <c r="G60" s="129"/>
      <c r="H60" s="49"/>
      <c r="K60" t="s">
        <v>80</v>
      </c>
      <c r="L60" s="129">
        <v>26.45</v>
      </c>
      <c r="M60" s="129">
        <v>31.510999999999999</v>
      </c>
      <c r="N60" s="118">
        <v>31.510999999999999</v>
      </c>
    </row>
    <row r="61" spans="2:14" x14ac:dyDescent="0.2">
      <c r="B61" s="52"/>
      <c r="C61" s="52" t="s">
        <v>287</v>
      </c>
      <c r="D61" s="52" t="s">
        <v>288</v>
      </c>
      <c r="E61" s="121">
        <v>40.044999999999995</v>
      </c>
      <c r="F61" s="121">
        <v>43.704999999999998</v>
      </c>
      <c r="G61" s="531"/>
      <c r="H61" s="57"/>
      <c r="I61" s="278"/>
      <c r="J61" s="278"/>
      <c r="K61" s="278" t="s">
        <v>284</v>
      </c>
      <c r="L61" s="533">
        <v>17.940000000000001</v>
      </c>
      <c r="M61" s="533">
        <v>22.71</v>
      </c>
      <c r="N61" s="534"/>
    </row>
    <row r="62" spans="2:14" x14ac:dyDescent="0.2">
      <c r="C62" t="s">
        <v>290</v>
      </c>
      <c r="D62" t="s">
        <v>291</v>
      </c>
      <c r="E62" s="129">
        <v>32.647999999999996</v>
      </c>
      <c r="F62" s="129">
        <v>35.317999999999998</v>
      </c>
      <c r="G62" s="129"/>
      <c r="H62" s="49"/>
      <c r="I62" t="s">
        <v>48</v>
      </c>
      <c r="J62" t="s">
        <v>289</v>
      </c>
      <c r="K62" t="s">
        <v>152</v>
      </c>
      <c r="L62" s="129">
        <v>26.275000000000002</v>
      </c>
      <c r="M62" s="129">
        <v>32.561</v>
      </c>
      <c r="N62" s="118"/>
    </row>
    <row r="63" spans="2:14" x14ac:dyDescent="0.2">
      <c r="B63" s="52"/>
      <c r="C63" s="52" t="s">
        <v>441</v>
      </c>
      <c r="D63" s="52" t="s">
        <v>442</v>
      </c>
      <c r="E63" s="121">
        <v>38.000999999999998</v>
      </c>
      <c r="F63" s="121">
        <v>40.737000000000002</v>
      </c>
      <c r="G63" s="531"/>
      <c r="H63" s="57"/>
      <c r="I63" s="278"/>
      <c r="J63" s="278"/>
      <c r="K63" s="278">
        <v>1</v>
      </c>
      <c r="L63" s="533">
        <v>22.121000000000002</v>
      </c>
      <c r="M63" s="533">
        <v>26.878</v>
      </c>
      <c r="N63" s="534"/>
    </row>
    <row r="64" spans="2:14" x14ac:dyDescent="0.2">
      <c r="D64" t="s">
        <v>292</v>
      </c>
      <c r="E64" s="129">
        <v>24.045999999999999</v>
      </c>
      <c r="F64" s="129">
        <v>26.808999999999997</v>
      </c>
      <c r="G64" s="129"/>
      <c r="H64" s="49"/>
      <c r="K64" t="s">
        <v>157</v>
      </c>
      <c r="L64" s="129">
        <v>20.199000000000002</v>
      </c>
      <c r="M64" s="129">
        <v>25.018000000000001</v>
      </c>
      <c r="N64" s="118"/>
    </row>
    <row r="65" spans="2:14" x14ac:dyDescent="0.2">
      <c r="B65" s="52"/>
      <c r="C65" s="52"/>
      <c r="D65" s="52" t="s">
        <v>295</v>
      </c>
      <c r="E65" s="121">
        <v>31.33</v>
      </c>
      <c r="F65" s="121">
        <v>34.049999999999997</v>
      </c>
      <c r="G65" s="531"/>
      <c r="H65" s="57"/>
      <c r="I65" s="278"/>
      <c r="J65" s="278"/>
      <c r="K65" s="278" t="s">
        <v>296</v>
      </c>
      <c r="L65" s="533">
        <v>25.498999999999999</v>
      </c>
      <c r="M65" s="533">
        <v>30.464999999999996</v>
      </c>
      <c r="N65" s="534"/>
    </row>
    <row r="66" spans="2:14" x14ac:dyDescent="0.2">
      <c r="D66" t="s">
        <v>299</v>
      </c>
      <c r="E66" s="129">
        <v>33.234000000000002</v>
      </c>
      <c r="F66" s="129">
        <v>36.055</v>
      </c>
      <c r="G66" s="129"/>
      <c r="H66" s="49"/>
      <c r="K66" t="s">
        <v>300</v>
      </c>
      <c r="L66" s="129">
        <v>21.199000000000002</v>
      </c>
      <c r="M66" s="129">
        <v>26.018000000000001</v>
      </c>
      <c r="N66" s="118"/>
    </row>
    <row r="67" spans="2:14" x14ac:dyDescent="0.2">
      <c r="B67" s="52" t="s">
        <v>38</v>
      </c>
      <c r="C67" s="52" t="s">
        <v>301</v>
      </c>
      <c r="D67" s="52" t="s">
        <v>302</v>
      </c>
      <c r="E67" s="121">
        <v>25.381999999999998</v>
      </c>
      <c r="F67" s="121">
        <v>30.200999999999993</v>
      </c>
      <c r="G67" s="531">
        <v>28.786999999999999</v>
      </c>
      <c r="H67" s="458"/>
      <c r="I67" s="529"/>
      <c r="J67" s="278"/>
      <c r="K67" s="278"/>
      <c r="L67" s="533"/>
      <c r="M67" s="533"/>
      <c r="N67" s="534"/>
    </row>
    <row r="68" spans="2:14" ht="13.5" thickBot="1" x14ac:dyDescent="0.25">
      <c r="B68" s="377"/>
      <c r="C68" s="377" t="s">
        <v>306</v>
      </c>
      <c r="D68" s="377" t="s">
        <v>307</v>
      </c>
      <c r="E68" s="532">
        <v>14.525</v>
      </c>
      <c r="F68" s="532">
        <v>17.62</v>
      </c>
      <c r="G68" s="532"/>
      <c r="H68" s="70"/>
      <c r="I68" s="530"/>
      <c r="J68" s="377"/>
      <c r="K68" s="377"/>
      <c r="L68" s="532"/>
      <c r="M68" s="532"/>
      <c r="N68" s="535"/>
    </row>
    <row r="69" spans="2:14" x14ac:dyDescent="0.2">
      <c r="B69" s="6" t="s">
        <v>322</v>
      </c>
      <c r="C69" s="6"/>
      <c r="D69" s="6"/>
      <c r="E69" s="6"/>
      <c r="F69" s="6"/>
      <c r="G69" s="6"/>
      <c r="H69" s="71"/>
      <c r="I69" s="6"/>
      <c r="J69" s="6"/>
      <c r="K69" s="6"/>
      <c r="L69" s="6"/>
      <c r="M69" s="6"/>
      <c r="N69" s="6"/>
    </row>
    <row r="70" spans="2:14" x14ac:dyDescent="0.2">
      <c r="B70" s="6"/>
      <c r="C70" s="6"/>
      <c r="D70" s="6"/>
      <c r="E70" s="6"/>
      <c r="F70" s="6"/>
      <c r="G70" s="6"/>
      <c r="H70" s="71"/>
      <c r="I70" s="6"/>
      <c r="J70" s="6"/>
      <c r="K70" s="6"/>
      <c r="L70" s="243"/>
      <c r="M70" s="243"/>
      <c r="N70" s="243"/>
    </row>
    <row r="71" spans="2:14" x14ac:dyDescent="0.2">
      <c r="B71" s="6"/>
      <c r="C71" s="6"/>
      <c r="D71" s="6"/>
      <c r="E71" s="556"/>
      <c r="F71" s="556"/>
      <c r="G71" s="556"/>
      <c r="H71" s="71"/>
      <c r="I71" s="6"/>
      <c r="J71" s="6"/>
      <c r="K71" s="6"/>
      <c r="L71" s="556"/>
      <c r="M71" s="556"/>
      <c r="N71" s="556"/>
    </row>
    <row r="72" spans="2:14" x14ac:dyDescent="0.2">
      <c r="B72" s="6"/>
      <c r="C72" s="6"/>
      <c r="D72" s="6"/>
      <c r="E72" s="6"/>
      <c r="F72" s="6"/>
      <c r="G72" s="6"/>
      <c r="H72" s="71"/>
      <c r="I72" s="6"/>
      <c r="J72" s="6"/>
      <c r="K72" s="6"/>
      <c r="L72" s="6"/>
      <c r="M72" s="6"/>
      <c r="N72" s="6"/>
    </row>
    <row r="73" spans="2:14" x14ac:dyDescent="0.2">
      <c r="B73" s="6"/>
      <c r="C73" s="6"/>
      <c r="D73" s="6"/>
      <c r="E73" s="6"/>
      <c r="F73" s="6"/>
      <c r="G73" s="6"/>
      <c r="H73" s="71"/>
      <c r="I73" s="6"/>
      <c r="J73" s="6"/>
      <c r="K73" s="6"/>
      <c r="L73" s="6"/>
      <c r="M73" s="6"/>
      <c r="N73" s="6"/>
    </row>
    <row r="74" spans="2:14" x14ac:dyDescent="0.2">
      <c r="B74" s="6"/>
      <c r="C74" s="6"/>
      <c r="D74" s="6"/>
      <c r="E74" s="6"/>
      <c r="F74" s="6"/>
      <c r="G74" s="6"/>
      <c r="H74" s="71"/>
      <c r="I74" s="6"/>
      <c r="J74" s="6"/>
      <c r="K74" s="6"/>
      <c r="L74" s="6"/>
      <c r="M74" s="6"/>
      <c r="N74" s="6"/>
    </row>
    <row r="75" spans="2:14" x14ac:dyDescent="0.2">
      <c r="B75" s="6"/>
      <c r="C75" s="6"/>
      <c r="D75" s="6"/>
      <c r="E75" s="6"/>
      <c r="F75" s="6"/>
      <c r="G75" s="6"/>
      <c r="H75" s="71"/>
      <c r="I75" s="6"/>
      <c r="J75" s="6"/>
      <c r="K75" s="6"/>
      <c r="L75" s="6"/>
      <c r="M75" s="6"/>
      <c r="N75" s="6"/>
    </row>
    <row r="76" spans="2:14" x14ac:dyDescent="0.2">
      <c r="B76" s="6"/>
      <c r="C76" s="6"/>
      <c r="D76" s="6"/>
      <c r="E76" s="6"/>
      <c r="F76" s="6"/>
      <c r="G76" s="6"/>
      <c r="H76" s="71"/>
      <c r="I76" s="6"/>
      <c r="J76" s="6"/>
      <c r="K76" s="6"/>
      <c r="L76" s="6"/>
      <c r="M76" s="6"/>
      <c r="N76" s="6"/>
    </row>
    <row r="77" spans="2:14" x14ac:dyDescent="0.2">
      <c r="B77" s="6"/>
      <c r="C77" s="6"/>
      <c r="D77" s="6"/>
      <c r="E77" s="6"/>
      <c r="F77" s="6"/>
      <c r="G77" s="6"/>
      <c r="H77" s="71"/>
      <c r="I77" s="6"/>
      <c r="J77" s="6"/>
      <c r="K77" s="6"/>
      <c r="L77" s="6"/>
      <c r="M77" s="6"/>
      <c r="N77" s="6"/>
    </row>
    <row r="78" spans="2:14" x14ac:dyDescent="0.2">
      <c r="B78" s="6"/>
      <c r="C78" s="6"/>
      <c r="D78" s="6"/>
      <c r="E78" s="6"/>
      <c r="F78" s="6"/>
      <c r="G78" s="6"/>
      <c r="H78" s="71"/>
      <c r="I78" s="6"/>
      <c r="J78" s="6"/>
      <c r="K78" s="6"/>
      <c r="L78" s="6"/>
      <c r="M78" s="6"/>
      <c r="N78" s="6"/>
    </row>
    <row r="79" spans="2:14" x14ac:dyDescent="0.2">
      <c r="B79" s="6"/>
      <c r="C79" s="6"/>
      <c r="D79" s="6"/>
      <c r="E79" s="6"/>
      <c r="F79" s="6"/>
      <c r="G79" s="6"/>
      <c r="H79" s="71"/>
      <c r="I79" s="6"/>
      <c r="J79" s="6"/>
      <c r="K79" s="6"/>
      <c r="L79" s="6"/>
      <c r="M79" s="6"/>
      <c r="N79" s="6"/>
    </row>
    <row r="80" spans="2:14" x14ac:dyDescent="0.2">
      <c r="H80" s="71"/>
      <c r="I80" s="6"/>
      <c r="J80" s="6"/>
      <c r="K80" s="6"/>
      <c r="L80" s="6"/>
      <c r="M80" s="6"/>
      <c r="N80" s="6"/>
    </row>
    <row r="81" spans="2:14" ht="17.25" customHeight="1" x14ac:dyDescent="0.2">
      <c r="B81" s="633">
        <f>'9'!C61+1</f>
        <v>18</v>
      </c>
      <c r="C81" s="633"/>
      <c r="D81" s="633"/>
      <c r="E81" s="633"/>
      <c r="F81" s="633"/>
      <c r="G81" s="633"/>
      <c r="H81" s="633"/>
      <c r="I81" s="633"/>
      <c r="J81" s="633"/>
      <c r="K81" s="633"/>
      <c r="L81" s="633"/>
      <c r="M81" s="633"/>
      <c r="N81" s="633"/>
    </row>
    <row r="82" spans="2:14" ht="15" x14ac:dyDescent="0.2">
      <c r="H82" s="101"/>
      <c r="I82" s="101"/>
      <c r="J82" s="101"/>
      <c r="K82" s="101"/>
      <c r="L82" s="101"/>
      <c r="M82" s="101"/>
      <c r="N82" s="101"/>
    </row>
  </sheetData>
  <mergeCells count="1">
    <mergeCell ref="B81:N81"/>
  </mergeCells>
  <phoneticPr fontId="38" type="noConversion"/>
  <printOptions horizontalCentered="1"/>
  <pageMargins left="0.5" right="0.5" top="0.5" bottom="0.5" header="0" footer="0"/>
  <pageSetup scale="63" orientation="portrait" r:id="rId1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  <pageSetUpPr fitToPage="1"/>
  </sheetPr>
  <dimension ref="B1:X84"/>
  <sheetViews>
    <sheetView showGridLines="0" view="pageBreakPreview" zoomScale="98" zoomScaleNormal="100" zoomScaleSheetLayoutView="98" workbookViewId="0">
      <selection activeCell="B4" sqref="B4"/>
    </sheetView>
  </sheetViews>
  <sheetFormatPr defaultRowHeight="12.75" x14ac:dyDescent="0.2"/>
  <cols>
    <col min="2" max="2" width="11.42578125" customWidth="1"/>
    <col min="3" max="3" width="21.5703125" customWidth="1"/>
    <col min="4" max="4" width="8.5703125" customWidth="1"/>
    <col min="5" max="6" width="10.140625" customWidth="1"/>
    <col min="7" max="7" width="13.5703125" customWidth="1"/>
    <col min="8" max="8" width="1.140625" customWidth="1"/>
    <col min="9" max="9" width="10.85546875" customWidth="1"/>
    <col min="10" max="10" width="22.140625" customWidth="1"/>
    <col min="11" max="11" width="8.85546875" customWidth="1"/>
    <col min="12" max="13" width="10.140625" customWidth="1"/>
    <col min="14" max="14" width="14.140625" customWidth="1"/>
    <col min="16" max="16" width="9.7109375" customWidth="1"/>
    <col min="18" max="18" width="16.28515625" customWidth="1"/>
    <col min="19" max="19" width="13.7109375" customWidth="1"/>
    <col min="20" max="20" width="18" customWidth="1"/>
    <col min="21" max="21" width="11.7109375" customWidth="1"/>
    <col min="22" max="22" width="12.28515625" customWidth="1"/>
    <col min="23" max="23" width="13" customWidth="1"/>
  </cols>
  <sheetData>
    <row r="1" spans="2:24" ht="18" x14ac:dyDescent="0.25">
      <c r="B1" s="4" t="s">
        <v>437</v>
      </c>
    </row>
    <row r="2" spans="2:24" ht="18" x14ac:dyDescent="0.25">
      <c r="B2" s="5" t="s">
        <v>491</v>
      </c>
      <c r="G2" s="5" t="str">
        <f>'table 1 &amp; 2'!C2</f>
        <v>2025 Tax Year</v>
      </c>
    </row>
    <row r="3" spans="2:24" ht="18.75" thickBot="1" x14ac:dyDescent="0.3">
      <c r="B3" s="5"/>
      <c r="P3" s="559" t="s">
        <v>593</v>
      </c>
      <c r="Q3" s="560"/>
      <c r="R3" s="560"/>
      <c r="S3" s="560"/>
      <c r="T3" s="560"/>
      <c r="U3" s="560"/>
      <c r="V3" s="560"/>
      <c r="W3" s="560"/>
      <c r="X3" s="560"/>
    </row>
    <row r="4" spans="2:24" ht="27" x14ac:dyDescent="0.3">
      <c r="B4" s="98" t="s">
        <v>446</v>
      </c>
      <c r="P4" s="543" t="s">
        <v>562</v>
      </c>
      <c r="Q4" s="430" t="s">
        <v>503</v>
      </c>
      <c r="R4" s="430" t="s">
        <v>504</v>
      </c>
      <c r="S4" s="549" t="s">
        <v>567</v>
      </c>
      <c r="U4" s="543" t="s">
        <v>565</v>
      </c>
      <c r="V4" s="430" t="s">
        <v>503</v>
      </c>
      <c r="W4" s="430" t="s">
        <v>504</v>
      </c>
      <c r="X4" s="549" t="s">
        <v>567</v>
      </c>
    </row>
    <row r="5" spans="2:24" ht="21" thickBot="1" x14ac:dyDescent="0.35">
      <c r="B5" s="98" t="s">
        <v>505</v>
      </c>
      <c r="C5" s="7"/>
      <c r="D5" s="7"/>
      <c r="E5" s="7"/>
      <c r="F5" s="7"/>
      <c r="G5" s="7"/>
      <c r="H5" s="7"/>
      <c r="I5" s="98" t="str">
        <f>G2</f>
        <v>2025 Tax Year</v>
      </c>
      <c r="J5" s="7"/>
      <c r="K5" s="7"/>
      <c r="L5" s="7"/>
      <c r="M5" s="7"/>
      <c r="N5" s="7"/>
      <c r="P5" s="434"/>
      <c r="Q5" s="432">
        <f>MIN(E9:E70,L9:L70)</f>
        <v>12.527000000000001</v>
      </c>
      <c r="R5" s="432">
        <f>MIN(F9:F70,M9:M70)</f>
        <v>14.838999999999999</v>
      </c>
      <c r="S5" s="433">
        <f>MIN(G9:G70,N9:N70)</f>
        <v>15.71</v>
      </c>
      <c r="U5" s="434"/>
      <c r="V5" s="432">
        <f>MAX(E9:E70,L9:L70)</f>
        <v>38.97</v>
      </c>
      <c r="W5" s="432">
        <f>MAX(F9:F70,M9:M70)</f>
        <v>45.102999999999994</v>
      </c>
      <c r="X5" s="433">
        <f>MAX(G9:G70,N9:N70)</f>
        <v>34.347000000000001</v>
      </c>
    </row>
    <row r="6" spans="2:24" x14ac:dyDescent="0.2">
      <c r="B6" s="7"/>
      <c r="C6" s="7"/>
      <c r="D6" s="7"/>
      <c r="E6" s="71"/>
      <c r="F6" s="71"/>
      <c r="G6" s="7"/>
      <c r="H6" s="7"/>
      <c r="I6" s="7"/>
      <c r="J6" s="7"/>
      <c r="K6" s="7"/>
      <c r="N6" s="7"/>
      <c r="P6" s="560"/>
      <c r="Q6" s="596" t="s">
        <v>596</v>
      </c>
      <c r="R6" s="580" t="s">
        <v>597</v>
      </c>
      <c r="S6" s="580" t="s">
        <v>598</v>
      </c>
      <c r="U6" s="560"/>
      <c r="V6" s="580" t="s">
        <v>275</v>
      </c>
      <c r="W6" s="580" t="s">
        <v>275</v>
      </c>
      <c r="X6" s="596" t="s">
        <v>270</v>
      </c>
    </row>
    <row r="7" spans="2:24" x14ac:dyDescent="0.2">
      <c r="D7" s="50" t="s">
        <v>74</v>
      </c>
      <c r="E7" s="46"/>
      <c r="F7" s="46" t="s">
        <v>5</v>
      </c>
      <c r="G7" s="46" t="s">
        <v>30</v>
      </c>
      <c r="H7" s="49"/>
      <c r="K7" t="s">
        <v>74</v>
      </c>
      <c r="L7" s="46"/>
      <c r="M7" s="46" t="s">
        <v>5</v>
      </c>
      <c r="N7" s="46" t="s">
        <v>30</v>
      </c>
    </row>
    <row r="8" spans="2:24" ht="13.5" thickBot="1" x14ac:dyDescent="0.25">
      <c r="B8" s="47" t="s">
        <v>27</v>
      </c>
      <c r="C8" s="47" t="s">
        <v>75</v>
      </c>
      <c r="D8" s="63" t="s">
        <v>313</v>
      </c>
      <c r="E8" s="67" t="s">
        <v>9</v>
      </c>
      <c r="F8" s="67" t="s">
        <v>9</v>
      </c>
      <c r="G8" s="67" t="s">
        <v>425</v>
      </c>
      <c r="H8" s="68"/>
      <c r="I8" s="47" t="s">
        <v>27</v>
      </c>
      <c r="J8" s="47" t="s">
        <v>75</v>
      </c>
      <c r="K8" s="47" t="s">
        <v>313</v>
      </c>
      <c r="L8" s="67" t="s">
        <v>9</v>
      </c>
      <c r="M8" s="67" t="s">
        <v>9</v>
      </c>
      <c r="N8" s="67" t="s">
        <v>425</v>
      </c>
      <c r="P8" s="559" t="s">
        <v>599</v>
      </c>
      <c r="Q8" s="560"/>
      <c r="R8" s="560"/>
      <c r="S8" s="560"/>
      <c r="T8" s="560"/>
      <c r="U8" s="560"/>
      <c r="V8" s="560"/>
      <c r="W8" s="560"/>
      <c r="X8" s="560"/>
    </row>
    <row r="9" spans="2:24" ht="13.5" thickBot="1" x14ac:dyDescent="0.25">
      <c r="B9" s="52" t="s">
        <v>49</v>
      </c>
      <c r="C9" s="52" t="s">
        <v>303</v>
      </c>
      <c r="D9" s="54" t="s">
        <v>98</v>
      </c>
      <c r="E9" s="95">
        <v>25.518999999999998</v>
      </c>
      <c r="F9" s="95">
        <v>33.15</v>
      </c>
      <c r="G9" s="95"/>
      <c r="H9" s="72"/>
      <c r="I9" s="52" t="s">
        <v>54</v>
      </c>
      <c r="J9" s="52"/>
      <c r="K9" s="54" t="s">
        <v>80</v>
      </c>
      <c r="L9" s="95">
        <v>25.108000000000001</v>
      </c>
      <c r="M9" s="95">
        <v>32.201000000000001</v>
      </c>
      <c r="N9" s="95"/>
      <c r="O9" s="94"/>
      <c r="P9" s="318" t="s">
        <v>563</v>
      </c>
      <c r="Q9" s="318"/>
      <c r="R9" s="318"/>
      <c r="S9" s="318"/>
      <c r="T9" s="318"/>
      <c r="U9" s="318" t="s">
        <v>566</v>
      </c>
      <c r="V9" s="318"/>
      <c r="W9" s="318"/>
      <c r="X9" s="318"/>
    </row>
    <row r="10" spans="2:24" ht="26.25" thickTop="1" x14ac:dyDescent="0.2">
      <c r="B10" s="6"/>
      <c r="C10" s="6" t="s">
        <v>308</v>
      </c>
      <c r="D10" s="60" t="s">
        <v>309</v>
      </c>
      <c r="E10" s="125">
        <v>24.292000000000002</v>
      </c>
      <c r="F10" s="125">
        <v>31.962</v>
      </c>
      <c r="G10" s="125"/>
      <c r="H10" s="51"/>
      <c r="I10" t="s">
        <v>83</v>
      </c>
      <c r="K10" s="50" t="s">
        <v>122</v>
      </c>
      <c r="L10" s="94">
        <v>21.943999999999999</v>
      </c>
      <c r="M10" s="94">
        <v>29.018999999999998</v>
      </c>
      <c r="N10" s="94"/>
      <c r="P10" s="544"/>
      <c r="Q10" s="545" t="s">
        <v>503</v>
      </c>
      <c r="R10" s="545" t="s">
        <v>504</v>
      </c>
      <c r="S10" s="550" t="s">
        <v>567</v>
      </c>
      <c r="U10" s="544"/>
      <c r="V10" s="545" t="s">
        <v>503</v>
      </c>
      <c r="W10" s="545" t="s">
        <v>504</v>
      </c>
      <c r="X10" s="550" t="s">
        <v>567</v>
      </c>
    </row>
    <row r="11" spans="2:24" ht="13.5" thickBot="1" x14ac:dyDescent="0.25">
      <c r="B11" s="52"/>
      <c r="C11" s="52" t="s">
        <v>311</v>
      </c>
      <c r="D11" s="54" t="s">
        <v>312</v>
      </c>
      <c r="E11" s="95">
        <v>16.270999999999997</v>
      </c>
      <c r="F11" s="95">
        <v>23.338999999999999</v>
      </c>
      <c r="G11" s="95"/>
      <c r="H11" s="72"/>
      <c r="I11" s="52"/>
      <c r="J11" s="52"/>
      <c r="K11" s="54" t="s">
        <v>81</v>
      </c>
      <c r="L11" s="95">
        <v>12.527000000000001</v>
      </c>
      <c r="M11" s="95">
        <v>18.826999999999998</v>
      </c>
      <c r="N11" s="95"/>
      <c r="P11" s="546"/>
      <c r="Q11" s="547">
        <f>MIN(Q5,' Table 17 part 1'!R6)</f>
        <v>10.318</v>
      </c>
      <c r="R11" s="547">
        <f>MIN(R5,' Table 17 part 1'!S6)</f>
        <v>14.838999999999999</v>
      </c>
      <c r="S11" s="551">
        <f>MIN(S5,' Table 17 part 1'!T6)</f>
        <v>14.21</v>
      </c>
      <c r="U11" s="546"/>
      <c r="V11" s="547">
        <f>MAX(V5,' Table 17 part 1'!W6)</f>
        <v>48.323</v>
      </c>
      <c r="W11" s="547">
        <f>MAX(W5,' Table 17 part 1'!X6)</f>
        <v>53.461999999999996</v>
      </c>
      <c r="X11" s="551">
        <f>MAX(X5,' Table 17 part 1'!Y6)</f>
        <v>34.497</v>
      </c>
    </row>
    <row r="12" spans="2:24" ht="13.5" thickTop="1" x14ac:dyDescent="0.2">
      <c r="D12" s="50" t="s">
        <v>80</v>
      </c>
      <c r="E12" s="94">
        <v>20.391999999999999</v>
      </c>
      <c r="F12" s="94">
        <v>25.995999999999999</v>
      </c>
      <c r="G12" s="94"/>
      <c r="H12" s="51"/>
      <c r="K12" s="50">
        <v>50</v>
      </c>
      <c r="L12" s="94">
        <v>17.582000000000001</v>
      </c>
      <c r="M12" s="94">
        <v>24.582999999999998</v>
      </c>
      <c r="N12" s="94"/>
      <c r="P12" s="561"/>
      <c r="Q12" s="597" t="str">
        <f>IF(' Table 17 part 1'!R6&lt;'Table 17 part 2'!Q5,' Table 17 part 1'!R7,'Table 17 part 2'!Q6)</f>
        <v>Chaves 27/28</v>
      </c>
      <c r="R12" s="561" t="str">
        <f>IF(' Table 17 part 1'!S6&lt;'Table 17 part 2'!R5,' Table 17 part 1'!S7,'Table 17 part 2'!R6)</f>
        <v>Roosevelt 5 OUT</v>
      </c>
      <c r="S12" s="561" t="str">
        <f>IF(' Table 17 part 1'!T6&lt;'Table 17 part 2'!S5,' Table 17 part 1'!T7,'Table 17 part 2'!S6)</f>
        <v>Chaves 28</v>
      </c>
      <c r="V12" s="597" t="str">
        <f>IF(' Table 17 part 1'!W6&gt;'Table 17 part 2'!V5,' Table 17 part 1'!W7,'Table 17 part 2'!V6)</f>
        <v>Albuquerque</v>
      </c>
      <c r="W12" s="597" t="str">
        <f>IF(' Table 17 part 1'!X6&gt;'Table 17 part 2'!W5,' Table 17 part 1'!X7,'Table 17 part 2'!W6)</f>
        <v>Albuquerque</v>
      </c>
      <c r="X12" s="597" t="str">
        <f>IF(' Table 17 part 1'!Y6&gt;'Table 17 part 2'!X5,' Table 17 part 1'!Y7,'Table 17 part 2'!X6)</f>
        <v>Hobbs</v>
      </c>
    </row>
    <row r="13" spans="2:24" x14ac:dyDescent="0.2">
      <c r="B13" s="52"/>
      <c r="C13" s="52"/>
      <c r="D13" s="54" t="s">
        <v>85</v>
      </c>
      <c r="E13" s="95">
        <v>18.927</v>
      </c>
      <c r="F13" s="95">
        <v>24.331</v>
      </c>
      <c r="G13" s="95"/>
      <c r="H13" s="72"/>
      <c r="I13" s="52" t="s">
        <v>56</v>
      </c>
      <c r="J13" s="52" t="s">
        <v>56</v>
      </c>
      <c r="K13" s="54" t="s">
        <v>89</v>
      </c>
      <c r="L13" s="95">
        <v>22.772000000000002</v>
      </c>
      <c r="M13" s="95">
        <v>32.463999999999999</v>
      </c>
      <c r="N13" s="95"/>
    </row>
    <row r="14" spans="2:24" x14ac:dyDescent="0.2">
      <c r="D14" s="50" t="s">
        <v>88</v>
      </c>
      <c r="E14" s="94">
        <v>22.814</v>
      </c>
      <c r="F14" s="94">
        <v>28.408999999999999</v>
      </c>
      <c r="G14" s="94"/>
      <c r="H14" s="51"/>
      <c r="J14" t="s">
        <v>93</v>
      </c>
      <c r="K14" s="50" t="s">
        <v>94</v>
      </c>
      <c r="L14" s="94">
        <v>24.047000000000001</v>
      </c>
      <c r="M14" s="94">
        <v>34.836999999999996</v>
      </c>
      <c r="N14" s="94"/>
    </row>
    <row r="15" spans="2:24" x14ac:dyDescent="0.2">
      <c r="B15" s="52"/>
      <c r="C15" s="52"/>
      <c r="D15" s="54">
        <v>16</v>
      </c>
      <c r="E15" s="95">
        <v>26.533999999999999</v>
      </c>
      <c r="F15" s="95">
        <v>31.942999999999998</v>
      </c>
      <c r="G15" s="95"/>
      <c r="H15" s="72"/>
      <c r="I15" s="52"/>
      <c r="J15" s="52" t="s">
        <v>100</v>
      </c>
      <c r="K15" s="54" t="s">
        <v>101</v>
      </c>
      <c r="L15" s="95">
        <v>23.132000000000001</v>
      </c>
      <c r="M15" s="95">
        <v>30.16</v>
      </c>
      <c r="N15" s="95"/>
    </row>
    <row r="16" spans="2:24" x14ac:dyDescent="0.2">
      <c r="B16" t="s">
        <v>50</v>
      </c>
      <c r="C16" t="s">
        <v>99</v>
      </c>
      <c r="D16" s="50" t="s">
        <v>98</v>
      </c>
      <c r="E16" s="94">
        <v>27.202999999999999</v>
      </c>
      <c r="F16" s="94">
        <v>32.793999999999997</v>
      </c>
      <c r="G16" s="94"/>
      <c r="H16" s="51"/>
      <c r="J16" t="s">
        <v>100</v>
      </c>
      <c r="K16" t="s">
        <v>537</v>
      </c>
      <c r="L16" s="46">
        <v>21.948</v>
      </c>
      <c r="M16" s="46">
        <v>28.975999999999999</v>
      </c>
      <c r="S16" s="321"/>
    </row>
    <row r="17" spans="2:14" x14ac:dyDescent="0.2">
      <c r="B17" s="8"/>
      <c r="C17" s="52" t="s">
        <v>105</v>
      </c>
      <c r="D17" s="54" t="s">
        <v>106</v>
      </c>
      <c r="E17" s="95">
        <v>28.12</v>
      </c>
      <c r="F17" s="95">
        <v>28.622</v>
      </c>
      <c r="G17" s="95"/>
      <c r="H17" s="72"/>
      <c r="I17" s="8"/>
      <c r="J17" s="52"/>
      <c r="K17" s="54" t="s">
        <v>107</v>
      </c>
      <c r="L17" s="95">
        <v>26.015000000000001</v>
      </c>
      <c r="M17" s="95">
        <v>33.97</v>
      </c>
      <c r="N17" s="95"/>
    </row>
    <row r="18" spans="2:14" x14ac:dyDescent="0.2">
      <c r="C18" t="s">
        <v>111</v>
      </c>
      <c r="D18" s="50" t="s">
        <v>112</v>
      </c>
      <c r="E18" s="94">
        <v>28.452000000000002</v>
      </c>
      <c r="F18" s="94">
        <v>29.391999999999996</v>
      </c>
      <c r="G18" s="94"/>
      <c r="H18" s="51"/>
      <c r="K18" s="50">
        <v>1</v>
      </c>
      <c r="L18" s="94">
        <v>21.997999999999998</v>
      </c>
      <c r="M18" s="94">
        <v>28.962000000000003</v>
      </c>
      <c r="N18" s="94"/>
    </row>
    <row r="19" spans="2:14" x14ac:dyDescent="0.2">
      <c r="B19" s="52"/>
      <c r="C19" s="52" t="s">
        <v>116</v>
      </c>
      <c r="D19" s="54" t="s">
        <v>117</v>
      </c>
      <c r="E19" s="95">
        <v>27.625999999999998</v>
      </c>
      <c r="F19" s="95">
        <v>29.855999999999998</v>
      </c>
      <c r="G19" s="95"/>
      <c r="H19" s="72"/>
      <c r="I19" s="8"/>
      <c r="J19" s="52"/>
      <c r="K19" s="54" t="s">
        <v>108</v>
      </c>
      <c r="L19" s="95">
        <v>20.346999999999998</v>
      </c>
      <c r="M19" s="95">
        <v>27.070999999999998</v>
      </c>
      <c r="N19" s="95"/>
    </row>
    <row r="20" spans="2:14" x14ac:dyDescent="0.2">
      <c r="D20" s="50" t="s">
        <v>80</v>
      </c>
      <c r="E20" s="94">
        <v>23.317</v>
      </c>
      <c r="F20" s="94">
        <v>25.143999999999998</v>
      </c>
      <c r="G20" s="94"/>
      <c r="H20" s="51"/>
      <c r="K20" s="50" t="s">
        <v>120</v>
      </c>
      <c r="L20" s="94">
        <v>20.7</v>
      </c>
      <c r="M20" s="94">
        <v>27.415999999999997</v>
      </c>
      <c r="N20" s="94"/>
    </row>
    <row r="21" spans="2:14" x14ac:dyDescent="0.2">
      <c r="B21" s="52"/>
      <c r="C21" s="52"/>
      <c r="D21" s="54" t="s">
        <v>123</v>
      </c>
      <c r="E21" s="95">
        <v>20.532</v>
      </c>
      <c r="F21" s="95">
        <v>20.972000000000001</v>
      </c>
      <c r="G21" s="95"/>
      <c r="H21" s="72"/>
      <c r="I21" s="8" t="s">
        <v>57</v>
      </c>
      <c r="J21" s="333" t="s">
        <v>553</v>
      </c>
      <c r="K21" s="54" t="s">
        <v>125</v>
      </c>
      <c r="L21" s="95">
        <v>29.677</v>
      </c>
      <c r="M21" s="95">
        <v>32.085000000000001</v>
      </c>
      <c r="N21" s="95"/>
    </row>
    <row r="22" spans="2:14" x14ac:dyDescent="0.2">
      <c r="D22" s="50" t="s">
        <v>129</v>
      </c>
      <c r="E22" s="94">
        <v>21.114000000000001</v>
      </c>
      <c r="F22" s="94">
        <v>21.741999999999997</v>
      </c>
      <c r="G22" s="94"/>
      <c r="H22" s="51"/>
      <c r="J22" t="s">
        <v>130</v>
      </c>
      <c r="K22" s="50" t="s">
        <v>131</v>
      </c>
      <c r="L22" s="94">
        <v>26.356999999999999</v>
      </c>
      <c r="M22" s="94">
        <v>28.585000000000001</v>
      </c>
      <c r="N22" s="94"/>
    </row>
    <row r="23" spans="2:14" x14ac:dyDescent="0.2">
      <c r="B23" s="52"/>
      <c r="C23" s="52"/>
      <c r="D23" s="54" t="s">
        <v>135</v>
      </c>
      <c r="E23" s="95">
        <v>22.151</v>
      </c>
      <c r="F23" s="95">
        <v>22.58</v>
      </c>
      <c r="G23" s="95"/>
      <c r="H23" s="72"/>
      <c r="I23" s="8"/>
      <c r="J23" s="52" t="s">
        <v>136</v>
      </c>
      <c r="K23" s="54" t="s">
        <v>137</v>
      </c>
      <c r="L23" s="95">
        <v>28.823999999999998</v>
      </c>
      <c r="M23" s="95">
        <v>30.478999999999999</v>
      </c>
      <c r="N23" s="95"/>
    </row>
    <row r="24" spans="2:14" x14ac:dyDescent="0.2">
      <c r="D24" s="50" t="s">
        <v>142</v>
      </c>
      <c r="E24" s="94">
        <v>21.678000000000001</v>
      </c>
      <c r="F24" s="94">
        <v>22.201999999999998</v>
      </c>
      <c r="G24" s="94"/>
      <c r="H24" s="51"/>
      <c r="K24" s="50" t="s">
        <v>143</v>
      </c>
      <c r="L24" s="94">
        <v>30.387999999999998</v>
      </c>
      <c r="M24" s="94">
        <v>32.36</v>
      </c>
      <c r="N24" s="94"/>
    </row>
    <row r="25" spans="2:14" x14ac:dyDescent="0.2">
      <c r="B25" s="52"/>
      <c r="C25" s="52"/>
      <c r="D25" s="54">
        <v>33</v>
      </c>
      <c r="E25" s="95">
        <v>21.114000000000001</v>
      </c>
      <c r="F25" s="95">
        <v>21.741999999999997</v>
      </c>
      <c r="G25" s="95">
        <v>22.411000000000001</v>
      </c>
      <c r="H25" s="72"/>
      <c r="I25" s="8" t="s">
        <v>58</v>
      </c>
      <c r="J25" s="52" t="s">
        <v>58</v>
      </c>
      <c r="K25" s="54" t="s">
        <v>98</v>
      </c>
      <c r="L25" s="95">
        <v>38.794999999999995</v>
      </c>
      <c r="M25" s="95">
        <v>42.4</v>
      </c>
      <c r="N25" s="95"/>
    </row>
    <row r="26" spans="2:14" x14ac:dyDescent="0.2">
      <c r="D26" s="50">
        <v>53</v>
      </c>
      <c r="E26" s="94">
        <v>18.324000000000002</v>
      </c>
      <c r="F26" s="94">
        <v>18.878</v>
      </c>
      <c r="G26" s="94"/>
      <c r="H26" s="51"/>
      <c r="J26" t="s">
        <v>151</v>
      </c>
      <c r="K26" s="50" t="s">
        <v>152</v>
      </c>
      <c r="L26" s="94">
        <v>28.101999999999997</v>
      </c>
      <c r="M26" s="94">
        <v>31.477</v>
      </c>
      <c r="N26" s="94"/>
    </row>
    <row r="27" spans="2:14" x14ac:dyDescent="0.2">
      <c r="B27" s="52" t="s">
        <v>51</v>
      </c>
      <c r="C27" s="52" t="s">
        <v>155</v>
      </c>
      <c r="D27" s="54" t="s">
        <v>106</v>
      </c>
      <c r="E27" s="95">
        <v>29.474999999999998</v>
      </c>
      <c r="F27" s="95">
        <v>35.711999999999996</v>
      </c>
      <c r="G27" s="95"/>
      <c r="H27" s="72"/>
      <c r="I27" s="8"/>
      <c r="J27" s="52"/>
      <c r="K27" s="54" t="s">
        <v>80</v>
      </c>
      <c r="L27" s="95">
        <v>34.417999999999999</v>
      </c>
      <c r="M27" s="95">
        <v>37.777000000000001</v>
      </c>
      <c r="N27" s="95"/>
    </row>
    <row r="28" spans="2:14" x14ac:dyDescent="0.2">
      <c r="B28" s="6"/>
      <c r="C28" t="s">
        <v>93</v>
      </c>
      <c r="D28" s="50" t="s">
        <v>556</v>
      </c>
      <c r="E28" s="94">
        <v>29.620000000000005</v>
      </c>
      <c r="F28" s="94">
        <v>40.033999999999999</v>
      </c>
      <c r="G28" s="94"/>
      <c r="H28" s="51"/>
      <c r="K28" s="50" t="s">
        <v>157</v>
      </c>
      <c r="L28" s="94">
        <v>28.514999999999997</v>
      </c>
      <c r="M28" s="94">
        <v>30.501999999999999</v>
      </c>
      <c r="N28" s="94"/>
    </row>
    <row r="29" spans="2:14" x14ac:dyDescent="0.2">
      <c r="B29" s="52"/>
      <c r="C29" s="52"/>
      <c r="D29" s="54" t="s">
        <v>123</v>
      </c>
      <c r="E29" s="95">
        <v>26.452000000000002</v>
      </c>
      <c r="F29" s="95">
        <v>32.756</v>
      </c>
      <c r="G29" s="95"/>
      <c r="H29" s="72"/>
      <c r="I29" s="8"/>
      <c r="J29" s="52"/>
      <c r="K29" s="54">
        <v>5</v>
      </c>
      <c r="L29" s="95">
        <v>38.353000000000002</v>
      </c>
      <c r="M29" s="95">
        <v>41.165999999999997</v>
      </c>
      <c r="N29" s="95"/>
    </row>
    <row r="30" spans="2:14" x14ac:dyDescent="0.2">
      <c r="D30" s="50" t="s">
        <v>162</v>
      </c>
      <c r="E30" s="94">
        <v>18.765000000000001</v>
      </c>
      <c r="F30" s="94">
        <v>26.083000000000002</v>
      </c>
      <c r="G30" s="94">
        <v>24.789000000000001</v>
      </c>
      <c r="H30" s="51"/>
      <c r="K30" s="50" t="s">
        <v>163</v>
      </c>
      <c r="L30" s="94">
        <v>25.173999999999999</v>
      </c>
      <c r="M30" s="94">
        <v>27.430999999999997</v>
      </c>
      <c r="N30" s="94"/>
    </row>
    <row r="31" spans="2:14" x14ac:dyDescent="0.2">
      <c r="B31" s="52"/>
      <c r="C31" s="52"/>
      <c r="D31" s="54" t="s">
        <v>557</v>
      </c>
      <c r="E31" s="95">
        <v>27.273000000000003</v>
      </c>
      <c r="F31" s="95">
        <v>33.613</v>
      </c>
      <c r="G31" s="95"/>
      <c r="H31" s="72"/>
      <c r="I31" s="8"/>
      <c r="J31" s="52"/>
      <c r="K31" s="54" t="s">
        <v>166</v>
      </c>
      <c r="L31" s="95">
        <v>25.964999999999996</v>
      </c>
      <c r="M31" s="95">
        <v>27.902999999999999</v>
      </c>
      <c r="N31" s="95"/>
    </row>
    <row r="32" spans="2:14" x14ac:dyDescent="0.2">
      <c r="D32" s="50">
        <v>53</v>
      </c>
      <c r="E32" s="94">
        <v>19.399999999999999</v>
      </c>
      <c r="F32" s="94">
        <v>25.959</v>
      </c>
      <c r="G32" s="94">
        <v>24.789000000000001</v>
      </c>
      <c r="H32" s="51"/>
      <c r="K32" s="50" t="s">
        <v>169</v>
      </c>
      <c r="L32" s="94">
        <v>25.723999999999997</v>
      </c>
      <c r="M32" s="94">
        <v>27.701999999999998</v>
      </c>
      <c r="N32" s="94"/>
    </row>
    <row r="33" spans="2:14" x14ac:dyDescent="0.2">
      <c r="B33" s="52"/>
      <c r="C33" s="52"/>
      <c r="D33" s="54" t="s">
        <v>171</v>
      </c>
      <c r="E33" s="95">
        <v>24.070999999999998</v>
      </c>
      <c r="F33" s="95">
        <v>30.427</v>
      </c>
      <c r="G33" s="95"/>
      <c r="H33" s="72"/>
      <c r="I33" s="8" t="s">
        <v>59</v>
      </c>
      <c r="J33" s="52" t="s">
        <v>59</v>
      </c>
      <c r="K33" s="54" t="s">
        <v>98</v>
      </c>
      <c r="L33" s="95">
        <v>32.076000000000001</v>
      </c>
      <c r="M33" s="95">
        <v>39.101999999999997</v>
      </c>
      <c r="N33" s="95"/>
    </row>
    <row r="34" spans="2:14" x14ac:dyDescent="0.2">
      <c r="D34" s="50">
        <v>32</v>
      </c>
      <c r="E34" s="94">
        <v>23.963999999999999</v>
      </c>
      <c r="F34" s="94">
        <v>30.537000000000003</v>
      </c>
      <c r="G34" s="94"/>
      <c r="H34" s="51"/>
      <c r="J34" t="s">
        <v>173</v>
      </c>
      <c r="K34" s="50" t="s">
        <v>174</v>
      </c>
      <c r="L34" s="94">
        <v>18.318000000000001</v>
      </c>
      <c r="M34" s="94">
        <v>24.240000000000002</v>
      </c>
      <c r="N34" s="94"/>
    </row>
    <row r="35" spans="2:14" x14ac:dyDescent="0.2">
      <c r="B35" s="52" t="s">
        <v>52</v>
      </c>
      <c r="C35" s="52" t="s">
        <v>176</v>
      </c>
      <c r="D35" s="54" t="s">
        <v>98</v>
      </c>
      <c r="E35" s="95">
        <v>25.110000000000003</v>
      </c>
      <c r="F35" s="95">
        <v>27.521999999999998</v>
      </c>
      <c r="G35" s="95"/>
      <c r="H35" s="72"/>
      <c r="I35" s="8"/>
      <c r="J35" s="52" t="s">
        <v>177</v>
      </c>
      <c r="K35" s="54" t="s">
        <v>178</v>
      </c>
      <c r="L35" s="95">
        <v>22.45</v>
      </c>
      <c r="M35" s="95">
        <v>25.504000000000001</v>
      </c>
      <c r="N35" s="95"/>
    </row>
    <row r="36" spans="2:14" x14ac:dyDescent="0.2">
      <c r="B36" s="6"/>
      <c r="C36" t="s">
        <v>182</v>
      </c>
      <c r="D36" s="50" t="s">
        <v>183</v>
      </c>
      <c r="E36" s="94">
        <v>15.302999999999999</v>
      </c>
      <c r="F36" s="94">
        <v>17.538</v>
      </c>
      <c r="G36" s="94"/>
      <c r="H36" s="51"/>
      <c r="J36" t="s">
        <v>184</v>
      </c>
      <c r="K36" s="50" t="s">
        <v>185</v>
      </c>
      <c r="L36" s="94">
        <v>24.063000000000002</v>
      </c>
      <c r="M36" s="94">
        <v>29.175999999999998</v>
      </c>
      <c r="N36" s="94"/>
    </row>
    <row r="37" spans="2:14" x14ac:dyDescent="0.2">
      <c r="B37" s="52"/>
      <c r="C37" s="52" t="s">
        <v>189</v>
      </c>
      <c r="D37" s="54" t="s">
        <v>147</v>
      </c>
      <c r="E37" s="95">
        <v>15.184000000000001</v>
      </c>
      <c r="F37" s="95">
        <v>17.064</v>
      </c>
      <c r="G37" s="95"/>
      <c r="H37" s="72"/>
      <c r="I37" s="8"/>
      <c r="J37" s="52"/>
      <c r="K37" s="54" t="s">
        <v>80</v>
      </c>
      <c r="L37" s="95">
        <v>16.591999999999999</v>
      </c>
      <c r="M37" s="95">
        <v>22.216999999999999</v>
      </c>
      <c r="N37" s="95"/>
    </row>
    <row r="38" spans="2:14" x14ac:dyDescent="0.2">
      <c r="C38" t="s">
        <v>193</v>
      </c>
      <c r="D38" s="50" t="s">
        <v>194</v>
      </c>
      <c r="E38" s="94">
        <v>20.768000000000001</v>
      </c>
      <c r="F38" s="94">
        <v>23.414999999999999</v>
      </c>
      <c r="G38" s="94"/>
      <c r="H38" s="51"/>
      <c r="K38" s="50" t="s">
        <v>195</v>
      </c>
      <c r="L38" s="94">
        <v>16.591999999999999</v>
      </c>
      <c r="M38" s="94">
        <v>22.216999999999999</v>
      </c>
      <c r="N38" s="94"/>
    </row>
    <row r="39" spans="2:14" x14ac:dyDescent="0.2">
      <c r="B39" s="52"/>
      <c r="C39" s="52" t="s">
        <v>199</v>
      </c>
      <c r="D39" s="54" t="s">
        <v>200</v>
      </c>
      <c r="E39" s="95">
        <v>20.911999999999999</v>
      </c>
      <c r="F39" s="95">
        <v>23.38</v>
      </c>
      <c r="G39" s="95"/>
      <c r="H39" s="72"/>
      <c r="I39" s="8"/>
      <c r="J39" s="52"/>
      <c r="K39" s="54">
        <v>4</v>
      </c>
      <c r="L39" s="95">
        <v>18.291</v>
      </c>
      <c r="M39" s="95">
        <v>24.164000000000001</v>
      </c>
      <c r="N39" s="95"/>
    </row>
    <row r="40" spans="2:14" x14ac:dyDescent="0.2">
      <c r="D40" s="50" t="s">
        <v>80</v>
      </c>
      <c r="E40" s="94">
        <v>21.005000000000003</v>
      </c>
      <c r="F40" s="94">
        <v>22.831</v>
      </c>
      <c r="G40" s="94"/>
      <c r="H40" s="51"/>
      <c r="K40" s="50">
        <v>6</v>
      </c>
      <c r="L40" s="94">
        <v>18.398</v>
      </c>
      <c r="M40" s="94">
        <v>24.053999999999998</v>
      </c>
      <c r="N40" s="94"/>
    </row>
    <row r="41" spans="2:14" x14ac:dyDescent="0.2">
      <c r="B41" s="52"/>
      <c r="C41" s="52"/>
      <c r="D41" s="54" t="s">
        <v>122</v>
      </c>
      <c r="E41" s="95">
        <v>13.818999999999999</v>
      </c>
      <c r="F41" s="95">
        <v>15.683</v>
      </c>
      <c r="G41" s="95">
        <v>15.71</v>
      </c>
      <c r="H41" s="72"/>
      <c r="I41" s="8"/>
      <c r="J41" s="52"/>
      <c r="K41" s="54" t="s">
        <v>205</v>
      </c>
      <c r="L41" s="95">
        <v>13.681000000000001</v>
      </c>
      <c r="M41" s="95">
        <v>19.015000000000001</v>
      </c>
      <c r="N41" s="95"/>
    </row>
    <row r="42" spans="2:14" x14ac:dyDescent="0.2">
      <c r="D42" s="50" t="s">
        <v>159</v>
      </c>
      <c r="E42" s="94">
        <v>13.794</v>
      </c>
      <c r="F42" s="94">
        <v>14.838999999999999</v>
      </c>
      <c r="G42" s="94">
        <v>15.71</v>
      </c>
      <c r="H42" s="51"/>
      <c r="I42" t="s">
        <v>60</v>
      </c>
      <c r="J42" t="s">
        <v>208</v>
      </c>
      <c r="K42" s="50" t="s">
        <v>209</v>
      </c>
      <c r="L42" s="94">
        <v>24.764999999999997</v>
      </c>
      <c r="M42" s="94">
        <v>24.652999999999999</v>
      </c>
      <c r="N42" s="94"/>
    </row>
    <row r="43" spans="2:14" x14ac:dyDescent="0.2">
      <c r="B43" s="52"/>
      <c r="C43" s="52"/>
      <c r="D43" s="54" t="s">
        <v>213</v>
      </c>
      <c r="E43" s="95">
        <v>19.456</v>
      </c>
      <c r="F43" s="95">
        <v>21.189999999999998</v>
      </c>
      <c r="G43" s="95">
        <v>21.189999999999998</v>
      </c>
      <c r="H43" s="72"/>
      <c r="I43" s="8"/>
      <c r="J43" s="52" t="s">
        <v>214</v>
      </c>
      <c r="K43" s="54" t="s">
        <v>215</v>
      </c>
      <c r="L43" s="95">
        <v>27.661999999999999</v>
      </c>
      <c r="M43" s="95">
        <v>27.128</v>
      </c>
      <c r="N43" s="95"/>
    </row>
    <row r="44" spans="2:14" x14ac:dyDescent="0.2">
      <c r="D44" s="50">
        <v>3</v>
      </c>
      <c r="E44" s="94">
        <v>21.111000000000001</v>
      </c>
      <c r="F44" s="94">
        <v>22.388999999999999</v>
      </c>
      <c r="G44" s="94"/>
      <c r="H44" s="51"/>
      <c r="J44" t="s">
        <v>218</v>
      </c>
      <c r="K44" s="50" t="s">
        <v>128</v>
      </c>
      <c r="L44" s="94">
        <v>25.838999999999999</v>
      </c>
      <c r="M44" s="94">
        <v>25.721000000000004</v>
      </c>
      <c r="N44" s="94"/>
    </row>
    <row r="45" spans="2:14" x14ac:dyDescent="0.2">
      <c r="B45" s="52"/>
      <c r="C45" s="52"/>
      <c r="D45" s="56" t="s">
        <v>222</v>
      </c>
      <c r="E45" s="95">
        <v>17.824999999999999</v>
      </c>
      <c r="F45" s="95">
        <v>19.547000000000001</v>
      </c>
      <c r="G45" s="95"/>
      <c r="H45" s="72"/>
      <c r="I45" s="8"/>
      <c r="J45" s="52" t="s">
        <v>223</v>
      </c>
      <c r="K45" s="54" t="s">
        <v>224</v>
      </c>
      <c r="L45" s="95">
        <v>24.943999999999996</v>
      </c>
      <c r="M45" s="95">
        <v>27.218</v>
      </c>
      <c r="N45" s="95"/>
    </row>
    <row r="46" spans="2:14" x14ac:dyDescent="0.2">
      <c r="D46" s="50" t="s">
        <v>227</v>
      </c>
      <c r="E46" s="94">
        <v>20.033000000000001</v>
      </c>
      <c r="F46" s="94">
        <v>21.640999999999998</v>
      </c>
      <c r="G46" s="94"/>
      <c r="H46" s="51"/>
      <c r="J46" t="s">
        <v>228</v>
      </c>
      <c r="K46" s="50" t="s">
        <v>192</v>
      </c>
      <c r="L46" s="94">
        <v>21.247</v>
      </c>
      <c r="M46" s="94">
        <v>19.007000000000001</v>
      </c>
      <c r="N46" s="94"/>
    </row>
    <row r="47" spans="2:14" x14ac:dyDescent="0.2">
      <c r="B47" s="52" t="s">
        <v>55</v>
      </c>
      <c r="C47" s="52" t="s">
        <v>31</v>
      </c>
      <c r="D47" s="54" t="s">
        <v>98</v>
      </c>
      <c r="E47" s="95">
        <v>32.82</v>
      </c>
      <c r="F47" s="95">
        <v>37.911000000000001</v>
      </c>
      <c r="G47" s="95"/>
      <c r="H47" s="72"/>
      <c r="I47" s="8"/>
      <c r="J47" s="52"/>
      <c r="K47" s="54" t="s">
        <v>232</v>
      </c>
      <c r="L47" s="95">
        <v>25.436999999999998</v>
      </c>
      <c r="M47" s="95">
        <v>24.902999999999999</v>
      </c>
      <c r="N47" s="95"/>
    </row>
    <row r="48" spans="2:14" x14ac:dyDescent="0.2">
      <c r="B48" s="6"/>
      <c r="C48" t="s">
        <v>234</v>
      </c>
      <c r="D48" s="50" t="s">
        <v>235</v>
      </c>
      <c r="E48" s="94">
        <v>26.053000000000001</v>
      </c>
      <c r="F48" s="94">
        <v>31.939</v>
      </c>
      <c r="G48" s="94"/>
      <c r="H48" s="51"/>
      <c r="K48" s="50" t="s">
        <v>150</v>
      </c>
      <c r="L48" s="94">
        <v>25.927999999999997</v>
      </c>
      <c r="M48" s="94">
        <v>25.496000000000002</v>
      </c>
      <c r="N48" s="94"/>
    </row>
    <row r="49" spans="2:14" x14ac:dyDescent="0.2">
      <c r="B49" s="52"/>
      <c r="C49" s="52" t="s">
        <v>238</v>
      </c>
      <c r="D49" s="54" t="s">
        <v>239</v>
      </c>
      <c r="E49" s="95">
        <v>24.63</v>
      </c>
      <c r="F49" s="95">
        <v>27.822000000000003</v>
      </c>
      <c r="G49" s="95"/>
      <c r="H49" s="72"/>
      <c r="I49" s="8"/>
      <c r="J49" s="52"/>
      <c r="K49" s="54" t="s">
        <v>240</v>
      </c>
      <c r="L49" s="95">
        <v>22.430999999999997</v>
      </c>
      <c r="M49" s="95">
        <v>21.97</v>
      </c>
      <c r="N49" s="95"/>
    </row>
    <row r="50" spans="2:14" x14ac:dyDescent="0.2">
      <c r="C50" t="s">
        <v>242</v>
      </c>
      <c r="D50" s="50" t="s">
        <v>243</v>
      </c>
      <c r="E50" s="94">
        <v>27.582999999999998</v>
      </c>
      <c r="F50" s="94">
        <v>30.889000000000003</v>
      </c>
      <c r="G50" s="94"/>
      <c r="H50" s="51"/>
      <c r="K50" s="50" t="s">
        <v>212</v>
      </c>
      <c r="L50" s="94">
        <v>20.588999999999999</v>
      </c>
      <c r="M50" s="94">
        <v>19.743000000000002</v>
      </c>
      <c r="N50" s="94"/>
    </row>
    <row r="51" spans="2:14" x14ac:dyDescent="0.2">
      <c r="B51" s="52"/>
      <c r="C51" s="52" t="s">
        <v>90</v>
      </c>
      <c r="D51" s="54" t="s">
        <v>246</v>
      </c>
      <c r="E51" s="95">
        <v>37.256999999999998</v>
      </c>
      <c r="F51" s="95">
        <v>42.699000000000005</v>
      </c>
      <c r="G51" s="95"/>
      <c r="H51" s="72"/>
      <c r="I51" s="8"/>
      <c r="J51" s="52"/>
      <c r="K51" s="54" t="s">
        <v>247</v>
      </c>
      <c r="L51" s="95">
        <v>22.672000000000001</v>
      </c>
      <c r="M51" s="95">
        <v>22.170999999999999</v>
      </c>
      <c r="N51" s="95"/>
    </row>
    <row r="52" spans="2:14" x14ac:dyDescent="0.2">
      <c r="C52" t="s">
        <v>95</v>
      </c>
      <c r="D52" s="50" t="s">
        <v>250</v>
      </c>
      <c r="E52" s="94">
        <v>34.896000000000001</v>
      </c>
      <c r="F52" s="94">
        <v>36.54</v>
      </c>
      <c r="G52" s="94"/>
      <c r="H52" s="51"/>
      <c r="I52" t="s">
        <v>61</v>
      </c>
      <c r="J52" t="s">
        <v>251</v>
      </c>
      <c r="K52" s="50" t="s">
        <v>98</v>
      </c>
      <c r="L52" s="94">
        <v>27.981999999999999</v>
      </c>
      <c r="M52" s="94">
        <v>28.637</v>
      </c>
      <c r="N52" s="94"/>
    </row>
    <row r="53" spans="2:14" x14ac:dyDescent="0.2">
      <c r="B53" s="52"/>
      <c r="C53" s="52" t="s">
        <v>100</v>
      </c>
      <c r="D53" s="54" t="s">
        <v>80</v>
      </c>
      <c r="E53" s="95" t="s">
        <v>69</v>
      </c>
      <c r="F53" s="95">
        <v>25.47</v>
      </c>
      <c r="G53" s="95"/>
      <c r="H53" s="72"/>
      <c r="I53" s="8"/>
      <c r="J53" s="52" t="s">
        <v>253</v>
      </c>
      <c r="K53" s="54" t="s">
        <v>254</v>
      </c>
      <c r="L53" s="95">
        <v>30.084</v>
      </c>
      <c r="M53" s="95">
        <v>32.348999999999997</v>
      </c>
      <c r="N53" s="95"/>
    </row>
    <row r="54" spans="2:14" x14ac:dyDescent="0.2">
      <c r="C54" t="s">
        <v>536</v>
      </c>
      <c r="D54" s="50" t="s">
        <v>80</v>
      </c>
      <c r="E54" s="94">
        <v>30.766999999999996</v>
      </c>
      <c r="F54" s="94">
        <v>33.792999999999992</v>
      </c>
      <c r="G54" s="94"/>
      <c r="H54" s="51"/>
      <c r="J54" t="s">
        <v>258</v>
      </c>
      <c r="K54" s="50" t="s">
        <v>259</v>
      </c>
      <c r="L54" s="94">
        <v>29.410999999999998</v>
      </c>
      <c r="M54" s="94">
        <v>31.234000000000002</v>
      </c>
      <c r="N54" s="94"/>
    </row>
    <row r="55" spans="2:14" x14ac:dyDescent="0.2">
      <c r="B55" s="52"/>
      <c r="C55" s="52"/>
      <c r="D55" s="54" t="s">
        <v>257</v>
      </c>
      <c r="E55" s="95">
        <v>22.555</v>
      </c>
      <c r="F55" s="95">
        <v>24.289000000000001</v>
      </c>
      <c r="G55" s="95">
        <v>26.637999999999998</v>
      </c>
      <c r="H55" s="72"/>
      <c r="I55" s="8"/>
      <c r="J55" s="52" t="s">
        <v>261</v>
      </c>
      <c r="K55" s="54" t="s">
        <v>262</v>
      </c>
      <c r="L55" s="95">
        <v>31.875999999999998</v>
      </c>
      <c r="M55" s="95">
        <v>34.265999999999998</v>
      </c>
      <c r="N55" s="95"/>
    </row>
    <row r="56" spans="2:14" x14ac:dyDescent="0.2">
      <c r="D56" s="50" t="s">
        <v>260</v>
      </c>
      <c r="E56" s="94">
        <v>21.308</v>
      </c>
      <c r="F56" s="94">
        <v>23.239000000000001</v>
      </c>
      <c r="G56" s="94"/>
      <c r="H56" s="51"/>
      <c r="K56" s="50" t="s">
        <v>80</v>
      </c>
      <c r="L56" s="94">
        <v>24.044</v>
      </c>
      <c r="M56" s="94">
        <v>25.228000000000002</v>
      </c>
      <c r="N56" s="94">
        <v>25.058999999999997</v>
      </c>
    </row>
    <row r="57" spans="2:14" x14ac:dyDescent="0.2">
      <c r="B57" s="52"/>
      <c r="C57" s="52" t="s">
        <v>555</v>
      </c>
      <c r="D57" s="54" t="s">
        <v>264</v>
      </c>
      <c r="E57" s="95">
        <v>37.315999999999995</v>
      </c>
      <c r="F57" s="95">
        <v>42.758000000000003</v>
      </c>
      <c r="G57" s="95"/>
      <c r="H57" s="72"/>
      <c r="I57" s="8"/>
      <c r="J57" s="52"/>
      <c r="K57" s="54" t="s">
        <v>267</v>
      </c>
      <c r="L57" s="95">
        <v>26.042999999999999</v>
      </c>
      <c r="M57" s="95">
        <v>27.411000000000001</v>
      </c>
      <c r="N57" s="95"/>
    </row>
    <row r="58" spans="2:14" x14ac:dyDescent="0.2">
      <c r="D58" s="50" t="s">
        <v>266</v>
      </c>
      <c r="E58" s="94">
        <v>25.488999999999997</v>
      </c>
      <c r="F58" s="94">
        <v>26.160999999999998</v>
      </c>
      <c r="G58" s="94"/>
      <c r="H58" s="51"/>
      <c r="K58" s="50">
        <v>49</v>
      </c>
      <c r="L58" s="94">
        <v>26.277000000000001</v>
      </c>
      <c r="M58" s="94">
        <v>28.304000000000002</v>
      </c>
      <c r="N58" s="94"/>
    </row>
    <row r="59" spans="2:14" x14ac:dyDescent="0.2">
      <c r="B59" s="52" t="s">
        <v>53</v>
      </c>
      <c r="C59" s="52" t="s">
        <v>270</v>
      </c>
      <c r="D59" s="54" t="s">
        <v>183</v>
      </c>
      <c r="E59" s="95">
        <v>29.198999999999998</v>
      </c>
      <c r="F59" s="95">
        <v>34.219000000000001</v>
      </c>
      <c r="G59" s="95">
        <v>34.347000000000001</v>
      </c>
      <c r="H59" s="72"/>
      <c r="I59" s="8" t="s">
        <v>62</v>
      </c>
      <c r="J59" s="52" t="s">
        <v>275</v>
      </c>
      <c r="K59" s="54" t="s">
        <v>98</v>
      </c>
      <c r="L59" s="95">
        <v>38.97</v>
      </c>
      <c r="M59" s="95">
        <v>45.102999999999994</v>
      </c>
      <c r="N59" s="95"/>
    </row>
    <row r="60" spans="2:14" x14ac:dyDescent="0.2">
      <c r="C60" t="s">
        <v>274</v>
      </c>
      <c r="D60" s="50" t="s">
        <v>147</v>
      </c>
      <c r="E60" s="94">
        <v>23.573999999999998</v>
      </c>
      <c r="F60" s="94">
        <v>26.754999999999995</v>
      </c>
      <c r="G60" s="94">
        <v>27.205000000000002</v>
      </c>
      <c r="H60" s="51"/>
      <c r="J60" t="s">
        <v>278</v>
      </c>
      <c r="K60" s="50" t="s">
        <v>528</v>
      </c>
      <c r="L60" s="94">
        <v>33.978999999999992</v>
      </c>
      <c r="M60" s="94">
        <v>39.550999999999995</v>
      </c>
      <c r="N60" s="94"/>
    </row>
    <row r="61" spans="2:14" x14ac:dyDescent="0.2">
      <c r="B61" s="52"/>
      <c r="C61" s="52" t="s">
        <v>277</v>
      </c>
      <c r="D61" s="54" t="s">
        <v>125</v>
      </c>
      <c r="E61" s="95">
        <v>29.395999999999997</v>
      </c>
      <c r="F61" s="95">
        <v>34.116</v>
      </c>
      <c r="G61" s="95">
        <v>34.204999999999998</v>
      </c>
      <c r="H61" s="72"/>
      <c r="I61" s="8"/>
      <c r="J61" s="52" t="s">
        <v>281</v>
      </c>
      <c r="K61" s="54" t="s">
        <v>183</v>
      </c>
      <c r="L61" s="95">
        <v>37.494999999999997</v>
      </c>
      <c r="M61" s="95">
        <v>44.542000000000002</v>
      </c>
      <c r="N61" s="95"/>
    </row>
    <row r="62" spans="2:14" x14ac:dyDescent="0.2">
      <c r="C62" t="s">
        <v>277</v>
      </c>
      <c r="D62" s="50" t="s">
        <v>293</v>
      </c>
      <c r="E62" s="94">
        <v>29.614999999999998</v>
      </c>
      <c r="F62" s="94">
        <v>34.384999999999998</v>
      </c>
      <c r="G62" s="94"/>
      <c r="H62" s="51"/>
      <c r="J62" t="s">
        <v>285</v>
      </c>
      <c r="K62" s="50" t="s">
        <v>286</v>
      </c>
      <c r="L62" s="94">
        <v>34.154999999999994</v>
      </c>
      <c r="M62" s="94">
        <v>39.566999999999993</v>
      </c>
      <c r="N62" s="94"/>
    </row>
    <row r="63" spans="2:14" x14ac:dyDescent="0.2">
      <c r="B63" s="52"/>
      <c r="C63" s="52" t="s">
        <v>526</v>
      </c>
      <c r="D63" s="54" t="s">
        <v>527</v>
      </c>
      <c r="E63" s="95">
        <v>22.542999999999999</v>
      </c>
      <c r="F63" s="95">
        <v>25.125999999999998</v>
      </c>
      <c r="G63" s="95"/>
      <c r="H63" s="72"/>
      <c r="I63" s="8"/>
      <c r="J63" s="52" t="s">
        <v>459</v>
      </c>
      <c r="K63" s="54" t="s">
        <v>460</v>
      </c>
      <c r="L63" s="95">
        <v>26.545000000000002</v>
      </c>
      <c r="M63" s="95">
        <v>31.062999999999999</v>
      </c>
      <c r="N63" s="95"/>
    </row>
    <row r="64" spans="2:14" x14ac:dyDescent="0.2">
      <c r="D64" s="50" t="s">
        <v>122</v>
      </c>
      <c r="E64" s="94">
        <v>24.645</v>
      </c>
      <c r="F64" s="94">
        <v>27.463000000000001</v>
      </c>
      <c r="G64" s="94">
        <v>27.474</v>
      </c>
      <c r="H64" s="51"/>
      <c r="K64" s="50" t="s">
        <v>80</v>
      </c>
      <c r="L64" s="94">
        <v>31.326999999999995</v>
      </c>
      <c r="M64" s="94">
        <v>36.937999999999995</v>
      </c>
      <c r="N64" s="94"/>
    </row>
    <row r="65" spans="2:14" x14ac:dyDescent="0.2">
      <c r="B65" s="52"/>
      <c r="C65" s="52"/>
      <c r="D65" s="54" t="s">
        <v>159</v>
      </c>
      <c r="E65" s="95">
        <v>22.122</v>
      </c>
      <c r="F65" s="95">
        <v>24.607999999999997</v>
      </c>
      <c r="G65" s="95">
        <v>24.98</v>
      </c>
      <c r="H65" s="72"/>
      <c r="I65" s="8"/>
      <c r="J65" s="52"/>
      <c r="K65" s="54" t="s">
        <v>122</v>
      </c>
      <c r="L65" s="95">
        <v>29.962</v>
      </c>
      <c r="M65" s="95">
        <v>35.869</v>
      </c>
      <c r="N65" s="95"/>
    </row>
    <row r="66" spans="2:14" x14ac:dyDescent="0.2">
      <c r="D66" s="50" t="s">
        <v>143</v>
      </c>
      <c r="E66" s="94">
        <v>24.425999999999998</v>
      </c>
      <c r="F66" s="94">
        <v>27.194000000000003</v>
      </c>
      <c r="G66" s="94">
        <v>27.204999999999998</v>
      </c>
      <c r="H66" s="51"/>
      <c r="K66" s="50" t="s">
        <v>294</v>
      </c>
      <c r="L66" s="94">
        <v>25.257999999999996</v>
      </c>
      <c r="M66" s="94">
        <v>29.604999999999997</v>
      </c>
      <c r="N66" s="94"/>
    </row>
    <row r="67" spans="2:14" x14ac:dyDescent="0.2">
      <c r="B67" s="52"/>
      <c r="C67" s="52"/>
      <c r="D67" s="54" t="s">
        <v>267</v>
      </c>
      <c r="E67" s="95">
        <v>22.542999999999999</v>
      </c>
      <c r="F67" s="95">
        <v>25.125999999999998</v>
      </c>
      <c r="G67" s="95">
        <v>25.137</v>
      </c>
      <c r="H67" s="72"/>
      <c r="I67" s="8"/>
      <c r="J67" s="52"/>
      <c r="K67" s="54" t="s">
        <v>298</v>
      </c>
      <c r="L67" s="95">
        <v>29.962</v>
      </c>
      <c r="M67" s="95">
        <v>35.869</v>
      </c>
      <c r="N67" s="95"/>
    </row>
    <row r="68" spans="2:14" x14ac:dyDescent="0.2">
      <c r="B68" t="s">
        <v>54</v>
      </c>
      <c r="C68" t="s">
        <v>297</v>
      </c>
      <c r="D68" s="50" t="s">
        <v>98</v>
      </c>
      <c r="E68" s="94">
        <v>31.018999999999998</v>
      </c>
      <c r="F68" s="94">
        <v>38.850999999999999</v>
      </c>
      <c r="G68" s="94"/>
      <c r="H68" s="51"/>
      <c r="K68" s="50"/>
      <c r="L68" s="94"/>
      <c r="M68" s="94"/>
      <c r="N68" s="94"/>
    </row>
    <row r="69" spans="2:14" x14ac:dyDescent="0.2">
      <c r="B69" s="52"/>
      <c r="C69" s="52" t="s">
        <v>297</v>
      </c>
      <c r="D69" s="54" t="s">
        <v>183</v>
      </c>
      <c r="E69" s="95">
        <v>28.854999999999997</v>
      </c>
      <c r="F69" s="95">
        <v>36.668999999999997</v>
      </c>
      <c r="G69" s="95"/>
      <c r="H69" s="72"/>
      <c r="I69" s="8"/>
      <c r="J69" s="52"/>
      <c r="K69" s="54"/>
      <c r="L69" s="95"/>
      <c r="M69" s="95"/>
      <c r="N69" s="95"/>
    </row>
    <row r="70" spans="2:14" ht="13.5" thickBot="1" x14ac:dyDescent="0.25">
      <c r="B70" s="377"/>
      <c r="C70" s="377" t="s">
        <v>304</v>
      </c>
      <c r="D70" s="460" t="s">
        <v>305</v>
      </c>
      <c r="E70" s="459">
        <v>12.967000000000001</v>
      </c>
      <c r="F70" s="459">
        <v>20.566999999999997</v>
      </c>
      <c r="G70" s="459"/>
      <c r="H70" s="461"/>
      <c r="I70" s="377"/>
      <c r="J70" s="377"/>
      <c r="K70" s="460"/>
      <c r="L70" s="462"/>
      <c r="M70" s="459"/>
      <c r="N70" s="459"/>
    </row>
    <row r="71" spans="2:14" x14ac:dyDescent="0.2">
      <c r="B71" s="6" t="s">
        <v>322</v>
      </c>
      <c r="C71" s="6"/>
      <c r="D71" s="6"/>
      <c r="E71" s="6"/>
      <c r="F71" s="6"/>
      <c r="G71" s="6"/>
      <c r="H71" s="71"/>
    </row>
    <row r="72" spans="2:14" x14ac:dyDescent="0.2">
      <c r="E72" s="71"/>
      <c r="F72" s="71"/>
      <c r="G72" s="71"/>
      <c r="H72" s="71"/>
      <c r="I72" s="71"/>
      <c r="J72" s="71"/>
      <c r="K72" s="71"/>
      <c r="L72" s="71"/>
      <c r="M72" s="71"/>
      <c r="N72" s="71"/>
    </row>
    <row r="73" spans="2:14" x14ac:dyDescent="0.2">
      <c r="E73" s="557"/>
      <c r="F73" s="557"/>
      <c r="G73" s="557"/>
      <c r="N73" s="557"/>
    </row>
    <row r="75" spans="2:14" x14ac:dyDescent="0.2">
      <c r="E75" s="118"/>
      <c r="F75" s="118"/>
      <c r="G75" s="118"/>
    </row>
    <row r="84" spans="2:14" x14ac:dyDescent="0.2">
      <c r="B84" s="633">
        <f>+' Table 17 part 1'!B81:N81+1</f>
        <v>19</v>
      </c>
      <c r="C84" s="633"/>
      <c r="D84" s="633"/>
      <c r="E84" s="633"/>
      <c r="F84" s="633"/>
      <c r="G84" s="633"/>
      <c r="H84" s="633"/>
      <c r="I84" s="633"/>
      <c r="J84" s="633"/>
      <c r="K84" s="633"/>
      <c r="L84" s="633"/>
      <c r="M84" s="633"/>
      <c r="N84" s="633"/>
    </row>
  </sheetData>
  <mergeCells count="1">
    <mergeCell ref="B84:N84"/>
  </mergeCells>
  <phoneticPr fontId="38" type="noConversion"/>
  <printOptions horizontalCentered="1"/>
  <pageMargins left="0.5" right="0.5" top="0.5" bottom="0.5" header="0" footer="0"/>
  <pageSetup scale="60" orientation="portrait" r:id="rId1"/>
  <headerFooter alignWithMargins="0"/>
  <ignoredErrors>
    <ignoredError sqref="D30" numberStoredAsText="1"/>
    <ignoredError sqref="D45" twoDigitTextYear="1"/>
  </ignoredError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50"/>
    <pageSetUpPr fitToPage="1"/>
  </sheetPr>
  <dimension ref="D1:L57"/>
  <sheetViews>
    <sheetView showGridLines="0" topLeftCell="A23" zoomScaleNormal="100" zoomScaleSheetLayoutView="100" workbookViewId="0">
      <selection activeCell="H56" sqref="H56"/>
    </sheetView>
  </sheetViews>
  <sheetFormatPr defaultRowHeight="12.75" x14ac:dyDescent="0.2"/>
  <cols>
    <col min="2" max="2" width="13.42578125" bestFit="1" customWidth="1"/>
    <col min="4" max="4" width="13.5703125" customWidth="1"/>
    <col min="5" max="5" width="10.28515625" customWidth="1"/>
    <col min="6" max="6" width="1.85546875" customWidth="1"/>
    <col min="7" max="7" width="13.5703125" customWidth="1"/>
    <col min="8" max="8" width="12.28515625" customWidth="1"/>
    <col min="9" max="9" width="1.5703125" customWidth="1"/>
    <col min="10" max="10" width="21.85546875" customWidth="1"/>
    <col min="11" max="11" width="14.28515625" customWidth="1"/>
    <col min="12" max="12" width="11" customWidth="1"/>
  </cols>
  <sheetData>
    <row r="1" spans="4:11" ht="15" x14ac:dyDescent="0.25">
      <c r="D1" s="82" t="s">
        <v>437</v>
      </c>
    </row>
    <row r="2" spans="4:11" ht="15" x14ac:dyDescent="0.25">
      <c r="D2" s="73" t="s">
        <v>491</v>
      </c>
      <c r="H2" s="73" t="str">
        <f>'table 1 &amp; 2'!C2</f>
        <v>2025 Tax Year</v>
      </c>
    </row>
    <row r="3" spans="4:11" ht="15" x14ac:dyDescent="0.25">
      <c r="D3" s="73"/>
    </row>
    <row r="4" spans="4:11" ht="16.5" x14ac:dyDescent="0.25">
      <c r="D4" s="76" t="s">
        <v>2</v>
      </c>
    </row>
    <row r="5" spans="4:11" ht="16.5" x14ac:dyDescent="0.25">
      <c r="D5" s="76" t="s">
        <v>529</v>
      </c>
    </row>
    <row r="7" spans="4:11" ht="13.5" thickBot="1" x14ac:dyDescent="0.25">
      <c r="D7" s="47" t="s">
        <v>75</v>
      </c>
      <c r="E7" s="47" t="s">
        <v>27</v>
      </c>
      <c r="F7" s="62"/>
      <c r="G7" s="138" t="s">
        <v>75</v>
      </c>
      <c r="H7" s="47" t="s">
        <v>27</v>
      </c>
      <c r="I7" s="62"/>
      <c r="J7" s="138" t="s">
        <v>75</v>
      </c>
      <c r="K7" s="47" t="s">
        <v>27</v>
      </c>
    </row>
    <row r="8" spans="4:11" x14ac:dyDescent="0.2">
      <c r="D8" t="s">
        <v>303</v>
      </c>
      <c r="E8" t="s">
        <v>49</v>
      </c>
      <c r="F8" s="463"/>
      <c r="G8" t="s">
        <v>208</v>
      </c>
      <c r="H8" t="s">
        <v>60</v>
      </c>
      <c r="I8" s="117"/>
      <c r="J8" s="164" t="s">
        <v>304</v>
      </c>
      <c r="K8" s="466" t="s">
        <v>54</v>
      </c>
    </row>
    <row r="9" spans="4:11" x14ac:dyDescent="0.2">
      <c r="D9" s="293" t="s">
        <v>76</v>
      </c>
      <c r="E9" s="296" t="s">
        <v>31</v>
      </c>
      <c r="F9" s="294"/>
      <c r="G9" s="294" t="s">
        <v>188</v>
      </c>
      <c r="H9" s="293" t="s">
        <v>43</v>
      </c>
      <c r="I9" s="465"/>
      <c r="J9" s="293" t="s">
        <v>285</v>
      </c>
      <c r="K9" s="293" t="s">
        <v>62</v>
      </c>
    </row>
    <row r="10" spans="4:11" x14ac:dyDescent="0.2">
      <c r="D10" t="s">
        <v>441</v>
      </c>
      <c r="E10" t="s">
        <v>37</v>
      </c>
      <c r="F10" s="117"/>
      <c r="G10" s="464" t="s">
        <v>274</v>
      </c>
      <c r="H10" t="s">
        <v>53</v>
      </c>
      <c r="I10" s="340"/>
      <c r="J10" s="464" t="s">
        <v>176</v>
      </c>
      <c r="K10" t="s">
        <v>52</v>
      </c>
    </row>
    <row r="11" spans="4:11" x14ac:dyDescent="0.2">
      <c r="D11" s="296" t="s">
        <v>206</v>
      </c>
      <c r="E11" s="296" t="s">
        <v>35</v>
      </c>
      <c r="F11" s="294"/>
      <c r="G11" s="294" t="s">
        <v>189</v>
      </c>
      <c r="H11" s="293" t="s">
        <v>52</v>
      </c>
      <c r="I11" s="295"/>
      <c r="J11" s="294" t="s">
        <v>173</v>
      </c>
      <c r="K11" s="293" t="s">
        <v>59</v>
      </c>
    </row>
    <row r="12" spans="4:11" x14ac:dyDescent="0.2">
      <c r="D12" t="s">
        <v>310</v>
      </c>
      <c r="E12" t="s">
        <v>38</v>
      </c>
      <c r="F12" s="49"/>
      <c r="G12" s="117" t="s">
        <v>258</v>
      </c>
      <c r="H12" t="s">
        <v>61</v>
      </c>
      <c r="I12" s="49"/>
      <c r="J12" s="117" t="s">
        <v>210</v>
      </c>
      <c r="K12" t="s">
        <v>35</v>
      </c>
    </row>
    <row r="13" spans="4:11" x14ac:dyDescent="0.2">
      <c r="D13" s="293" t="s">
        <v>270</v>
      </c>
      <c r="E13" s="293" t="s">
        <v>53</v>
      </c>
      <c r="F13" s="295"/>
      <c r="G13" s="294" t="s">
        <v>272</v>
      </c>
      <c r="H13" s="293" t="s">
        <v>271</v>
      </c>
      <c r="I13" s="295"/>
      <c r="J13" s="294" t="s">
        <v>177</v>
      </c>
      <c r="K13" s="293" t="s">
        <v>59</v>
      </c>
    </row>
    <row r="14" spans="4:11" x14ac:dyDescent="0.2">
      <c r="D14" t="s">
        <v>109</v>
      </c>
      <c r="E14" t="s">
        <v>39</v>
      </c>
      <c r="F14" s="49"/>
      <c r="G14" t="s">
        <v>276</v>
      </c>
      <c r="H14" t="s">
        <v>47</v>
      </c>
      <c r="I14" s="49"/>
      <c r="J14" s="117" t="s">
        <v>118</v>
      </c>
      <c r="K14" t="s">
        <v>32</v>
      </c>
    </row>
    <row r="15" spans="4:11" x14ac:dyDescent="0.2">
      <c r="D15" s="293" t="s">
        <v>281</v>
      </c>
      <c r="E15" s="293" t="s">
        <v>62</v>
      </c>
      <c r="F15" s="295"/>
      <c r="G15" s="293" t="s">
        <v>255</v>
      </c>
      <c r="H15" s="293" t="s">
        <v>36</v>
      </c>
      <c r="I15" s="295"/>
      <c r="J15" s="294" t="s">
        <v>459</v>
      </c>
      <c r="K15" s="293" t="s">
        <v>62</v>
      </c>
    </row>
    <row r="16" spans="4:11" x14ac:dyDescent="0.2">
      <c r="D16" t="s">
        <v>31</v>
      </c>
      <c r="E16" t="s">
        <v>55</v>
      </c>
      <c r="F16" s="49"/>
      <c r="G16" t="s">
        <v>179</v>
      </c>
      <c r="H16" t="s">
        <v>34</v>
      </c>
      <c r="I16" s="49"/>
      <c r="J16" s="369" t="s">
        <v>95</v>
      </c>
      <c r="K16" t="s">
        <v>55</v>
      </c>
    </row>
    <row r="17" spans="4:11" x14ac:dyDescent="0.2">
      <c r="D17" s="293" t="s">
        <v>277</v>
      </c>
      <c r="E17" s="293" t="s">
        <v>53</v>
      </c>
      <c r="F17" s="295"/>
      <c r="G17" s="293" t="s">
        <v>261</v>
      </c>
      <c r="H17" s="293" t="s">
        <v>61</v>
      </c>
      <c r="I17" s="295"/>
      <c r="J17" s="410" t="s">
        <v>138</v>
      </c>
      <c r="K17" s="293" t="s">
        <v>33</v>
      </c>
    </row>
    <row r="18" spans="4:11" x14ac:dyDescent="0.2">
      <c r="D18" t="s">
        <v>278</v>
      </c>
      <c r="E18" t="s">
        <v>62</v>
      </c>
      <c r="F18" s="49"/>
      <c r="G18" t="s">
        <v>144</v>
      </c>
      <c r="H18" t="s">
        <v>33</v>
      </c>
      <c r="I18" s="49"/>
      <c r="J18" s="117" t="s">
        <v>140</v>
      </c>
      <c r="K18" t="s">
        <v>41</v>
      </c>
    </row>
    <row r="19" spans="4:11" x14ac:dyDescent="0.2">
      <c r="D19" s="293" t="s">
        <v>241</v>
      </c>
      <c r="E19" s="293" t="s">
        <v>44</v>
      </c>
      <c r="F19" s="295"/>
      <c r="G19" s="293" t="s">
        <v>290</v>
      </c>
      <c r="H19" s="293" t="s">
        <v>37</v>
      </c>
      <c r="I19" s="295"/>
      <c r="J19" s="294" t="s">
        <v>226</v>
      </c>
      <c r="K19" s="293" t="s">
        <v>44</v>
      </c>
    </row>
    <row r="20" spans="4:11" x14ac:dyDescent="0.2">
      <c r="D20" t="s">
        <v>301</v>
      </c>
      <c r="E20" t="s">
        <v>38</v>
      </c>
      <c r="F20" s="49"/>
      <c r="G20" t="s">
        <v>191</v>
      </c>
      <c r="H20" t="s">
        <v>43</v>
      </c>
      <c r="I20" s="49"/>
      <c r="J20" s="117" t="s">
        <v>230</v>
      </c>
      <c r="K20" t="s">
        <v>44</v>
      </c>
    </row>
    <row r="21" spans="4:11" x14ac:dyDescent="0.2">
      <c r="D21" s="293" t="s">
        <v>233</v>
      </c>
      <c r="E21" s="293" t="s">
        <v>44</v>
      </c>
      <c r="F21" s="295"/>
      <c r="G21" s="293" t="s">
        <v>78</v>
      </c>
      <c r="H21" s="293" t="s">
        <v>38</v>
      </c>
      <c r="I21" s="295"/>
      <c r="J21" s="294" t="s">
        <v>116</v>
      </c>
      <c r="K21" s="293" t="s">
        <v>50</v>
      </c>
    </row>
    <row r="22" spans="4:11" x14ac:dyDescent="0.2">
      <c r="D22" t="s">
        <v>193</v>
      </c>
      <c r="E22" t="s">
        <v>52</v>
      </c>
      <c r="F22" s="49"/>
      <c r="G22" t="s">
        <v>105</v>
      </c>
      <c r="H22" t="s">
        <v>50</v>
      </c>
      <c r="I22" s="49"/>
      <c r="J22" s="117" t="s">
        <v>242</v>
      </c>
      <c r="K22" t="s">
        <v>55</v>
      </c>
    </row>
    <row r="23" spans="4:11" x14ac:dyDescent="0.2">
      <c r="D23" s="293" t="s">
        <v>155</v>
      </c>
      <c r="E23" s="293" t="s">
        <v>51</v>
      </c>
      <c r="F23" s="295"/>
      <c r="G23" s="293" t="s">
        <v>103</v>
      </c>
      <c r="H23" s="293" t="s">
        <v>39</v>
      </c>
      <c r="I23" s="295"/>
      <c r="J23" s="294" t="s">
        <v>114</v>
      </c>
      <c r="K23" s="293" t="s">
        <v>39</v>
      </c>
    </row>
    <row r="24" spans="4:11" x14ac:dyDescent="0.2">
      <c r="D24" t="s">
        <v>201</v>
      </c>
      <c r="E24" t="s">
        <v>35</v>
      </c>
      <c r="F24" s="49"/>
      <c r="G24" t="s">
        <v>197</v>
      </c>
      <c r="H24" t="s">
        <v>43</v>
      </c>
      <c r="I24" s="49"/>
      <c r="J24" s="117" t="s">
        <v>56</v>
      </c>
      <c r="K24" t="s">
        <v>56</v>
      </c>
    </row>
    <row r="25" spans="4:11" x14ac:dyDescent="0.2">
      <c r="D25" s="293" t="s">
        <v>251</v>
      </c>
      <c r="E25" s="293" t="s">
        <v>61</v>
      </c>
      <c r="F25" s="295"/>
      <c r="G25" s="293" t="s">
        <v>238</v>
      </c>
      <c r="H25" s="293" t="s">
        <v>55</v>
      </c>
      <c r="I25" s="295"/>
      <c r="J25" s="294" t="s">
        <v>127</v>
      </c>
      <c r="K25" s="293" t="s">
        <v>40</v>
      </c>
    </row>
    <row r="26" spans="4:11" x14ac:dyDescent="0.2">
      <c r="D26" t="s">
        <v>311</v>
      </c>
      <c r="E26" t="s">
        <v>49</v>
      </c>
      <c r="F26" s="49"/>
      <c r="G26" t="s">
        <v>526</v>
      </c>
      <c r="H26" t="s">
        <v>53</v>
      </c>
      <c r="I26" s="49"/>
      <c r="J26" s="117" t="s">
        <v>97</v>
      </c>
      <c r="K26" t="s">
        <v>39</v>
      </c>
    </row>
    <row r="27" spans="4:11" x14ac:dyDescent="0.2">
      <c r="D27" s="293" t="s">
        <v>244</v>
      </c>
      <c r="E27" s="293" t="s">
        <v>36</v>
      </c>
      <c r="F27" s="295"/>
      <c r="G27" s="293" t="s">
        <v>153</v>
      </c>
      <c r="H27" s="293" t="s">
        <v>33</v>
      </c>
      <c r="I27" s="295"/>
      <c r="J27" s="294" t="s">
        <v>58</v>
      </c>
      <c r="K27" s="293" t="s">
        <v>58</v>
      </c>
    </row>
    <row r="28" spans="4:11" x14ac:dyDescent="0.2">
      <c r="D28" t="s">
        <v>269</v>
      </c>
      <c r="E28" t="s">
        <v>46</v>
      </c>
      <c r="F28" s="49"/>
      <c r="G28" t="s">
        <v>279</v>
      </c>
      <c r="H28" t="s">
        <v>37</v>
      </c>
      <c r="I28" s="49"/>
      <c r="J28" s="117" t="s">
        <v>216</v>
      </c>
      <c r="K28" t="s">
        <v>35</v>
      </c>
    </row>
    <row r="29" spans="4:11" x14ac:dyDescent="0.2">
      <c r="D29" s="293" t="s">
        <v>237</v>
      </c>
      <c r="E29" s="293" t="s">
        <v>44</v>
      </c>
      <c r="F29" s="295"/>
      <c r="G29" s="293" t="s">
        <v>297</v>
      </c>
      <c r="H29" s="293" t="s">
        <v>54</v>
      </c>
      <c r="I29" s="295"/>
      <c r="J29" s="294" t="s">
        <v>287</v>
      </c>
      <c r="K29" s="293" t="s">
        <v>37</v>
      </c>
    </row>
    <row r="30" spans="4:11" x14ac:dyDescent="0.2">
      <c r="D30" t="s">
        <v>90</v>
      </c>
      <c r="E30" t="s">
        <v>55</v>
      </c>
      <c r="F30" s="49"/>
      <c r="G30" t="s">
        <v>111</v>
      </c>
      <c r="H30" t="s">
        <v>50</v>
      </c>
      <c r="I30" s="49"/>
      <c r="J30" s="117" t="s">
        <v>59</v>
      </c>
      <c r="K30" t="s">
        <v>59</v>
      </c>
    </row>
    <row r="31" spans="4:11" x14ac:dyDescent="0.2">
      <c r="D31" s="293" t="s">
        <v>234</v>
      </c>
      <c r="E31" s="293" t="s">
        <v>55</v>
      </c>
      <c r="F31" s="295"/>
      <c r="G31" s="293" t="s">
        <v>165</v>
      </c>
      <c r="H31" s="293" t="s">
        <v>42</v>
      </c>
      <c r="I31" s="295"/>
      <c r="J31" s="294" t="s">
        <v>184</v>
      </c>
      <c r="K31" s="293" t="s">
        <v>59</v>
      </c>
    </row>
    <row r="32" spans="4:11" x14ac:dyDescent="0.2">
      <c r="D32" t="s">
        <v>265</v>
      </c>
      <c r="E32" t="s">
        <v>46</v>
      </c>
      <c r="F32" s="49"/>
      <c r="G32" t="s">
        <v>45</v>
      </c>
      <c r="H32" t="s">
        <v>45</v>
      </c>
      <c r="I32" s="49"/>
      <c r="J32" s="117" t="s">
        <v>202</v>
      </c>
      <c r="K32" t="s">
        <v>43</v>
      </c>
    </row>
    <row r="33" spans="4:11" x14ac:dyDescent="0.2">
      <c r="D33" s="293" t="s">
        <v>253</v>
      </c>
      <c r="E33" s="293" t="s">
        <v>61</v>
      </c>
      <c r="F33" s="295"/>
      <c r="G33" s="293" t="s">
        <v>275</v>
      </c>
      <c r="H33" s="293" t="s">
        <v>62</v>
      </c>
      <c r="I33" s="295"/>
      <c r="J33" s="294" t="s">
        <v>248</v>
      </c>
      <c r="K33" s="293" t="s">
        <v>36</v>
      </c>
    </row>
    <row r="34" spans="4:11" x14ac:dyDescent="0.2">
      <c r="D34" t="s">
        <v>148</v>
      </c>
      <c r="E34" t="s">
        <v>33</v>
      </c>
      <c r="F34" s="49"/>
      <c r="G34" t="s">
        <v>82</v>
      </c>
      <c r="H34" t="s">
        <v>31</v>
      </c>
      <c r="I34" s="49"/>
      <c r="J34" s="117" t="s">
        <v>86</v>
      </c>
      <c r="K34" t="s">
        <v>31</v>
      </c>
    </row>
    <row r="35" spans="4:11" x14ac:dyDescent="0.2">
      <c r="D35" s="293" t="s">
        <v>199</v>
      </c>
      <c r="E35" s="293" t="s">
        <v>52</v>
      </c>
      <c r="F35" s="295"/>
      <c r="G35" s="293" t="s">
        <v>306</v>
      </c>
      <c r="H35" s="293" t="s">
        <v>38</v>
      </c>
      <c r="I35" s="295"/>
      <c r="J35" s="294" t="s">
        <v>553</v>
      </c>
      <c r="K35" s="293" t="s">
        <v>57</v>
      </c>
    </row>
    <row r="36" spans="4:11" x14ac:dyDescent="0.2">
      <c r="D36" t="s">
        <v>204</v>
      </c>
      <c r="E36" t="s">
        <v>35</v>
      </c>
      <c r="F36" s="49"/>
      <c r="G36" t="s">
        <v>181</v>
      </c>
      <c r="H36" t="s">
        <v>43</v>
      </c>
      <c r="I36" s="49"/>
      <c r="J36" s="117" t="s">
        <v>99</v>
      </c>
      <c r="K36" t="s">
        <v>50</v>
      </c>
    </row>
    <row r="37" spans="4:11" x14ac:dyDescent="0.2">
      <c r="D37" s="467" t="s">
        <v>100</v>
      </c>
      <c r="E37" s="293" t="s">
        <v>31</v>
      </c>
      <c r="F37" s="295"/>
      <c r="G37" s="293" t="s">
        <v>151</v>
      </c>
      <c r="H37" s="293" t="s">
        <v>58</v>
      </c>
      <c r="I37" s="295"/>
      <c r="J37" s="294" t="s">
        <v>308</v>
      </c>
      <c r="K37" s="293" t="s">
        <v>49</v>
      </c>
    </row>
    <row r="38" spans="4:11" x14ac:dyDescent="0.2">
      <c r="D38" s="321" t="s">
        <v>100</v>
      </c>
      <c r="E38" t="s">
        <v>55</v>
      </c>
      <c r="F38" s="49"/>
      <c r="G38" t="s">
        <v>219</v>
      </c>
      <c r="H38" t="s">
        <v>35</v>
      </c>
      <c r="I38" s="49"/>
      <c r="J38" s="117" t="s">
        <v>133</v>
      </c>
      <c r="K38" t="s">
        <v>40</v>
      </c>
    </row>
    <row r="39" spans="4:11" x14ac:dyDescent="0.2">
      <c r="D39" s="293" t="s">
        <v>100</v>
      </c>
      <c r="E39" s="293" t="s">
        <v>56</v>
      </c>
      <c r="F39" s="295"/>
      <c r="G39" s="293" t="s">
        <v>252</v>
      </c>
      <c r="H39" s="293" t="s">
        <v>36</v>
      </c>
      <c r="I39" s="295"/>
      <c r="J39" s="294" t="s">
        <v>167</v>
      </c>
      <c r="K39" s="293" t="s">
        <v>42</v>
      </c>
    </row>
    <row r="40" spans="4:11" x14ac:dyDescent="0.2">
      <c r="D40" t="s">
        <v>136</v>
      </c>
      <c r="E40" t="s">
        <v>57</v>
      </c>
      <c r="F40" s="49"/>
      <c r="G40" t="s">
        <v>282</v>
      </c>
      <c r="H40" t="s">
        <v>37</v>
      </c>
      <c r="I40" s="49"/>
      <c r="J40" s="117" t="s">
        <v>289</v>
      </c>
      <c r="K40" t="s">
        <v>48</v>
      </c>
    </row>
    <row r="41" spans="4:11" x14ac:dyDescent="0.2">
      <c r="D41" s="293" t="s">
        <v>182</v>
      </c>
      <c r="E41" s="293" t="s">
        <v>52</v>
      </c>
      <c r="F41" s="295"/>
      <c r="G41" s="293" t="s">
        <v>186</v>
      </c>
      <c r="H41" s="293" t="s">
        <v>34</v>
      </c>
      <c r="I41" s="295"/>
      <c r="J41" s="294" t="s">
        <v>214</v>
      </c>
      <c r="K41" s="293" t="s">
        <v>60</v>
      </c>
    </row>
    <row r="42" spans="4:11" x14ac:dyDescent="0.2">
      <c r="D42" t="s">
        <v>228</v>
      </c>
      <c r="E42" t="s">
        <v>60</v>
      </c>
      <c r="F42" s="49"/>
      <c r="G42" t="s">
        <v>218</v>
      </c>
      <c r="H42" t="s">
        <v>60</v>
      </c>
      <c r="I42" s="49"/>
      <c r="J42" s="117" t="s">
        <v>130</v>
      </c>
      <c r="K42" t="s">
        <v>57</v>
      </c>
    </row>
    <row r="43" spans="4:11" x14ac:dyDescent="0.2">
      <c r="D43" s="467" t="s">
        <v>93</v>
      </c>
      <c r="E43" s="293" t="s">
        <v>51</v>
      </c>
      <c r="F43" s="465"/>
      <c r="G43" s="293" t="s">
        <v>146</v>
      </c>
      <c r="H43" s="468" t="s">
        <v>41</v>
      </c>
      <c r="I43" s="465"/>
      <c r="J43" s="294"/>
      <c r="K43" s="293"/>
    </row>
    <row r="44" spans="4:11" ht="13.5" thickBot="1" x14ac:dyDescent="0.25">
      <c r="D44" s="469" t="s">
        <v>93</v>
      </c>
      <c r="E44" s="469" t="s">
        <v>56</v>
      </c>
      <c r="F44" s="62"/>
      <c r="G44" s="377" t="s">
        <v>223</v>
      </c>
      <c r="H44" s="377" t="s">
        <v>60</v>
      </c>
      <c r="I44" s="62"/>
      <c r="J44" s="470"/>
      <c r="K44" s="470"/>
    </row>
    <row r="45" spans="4:11" ht="14.25" x14ac:dyDescent="0.2">
      <c r="D45" s="66" t="s">
        <v>547</v>
      </c>
    </row>
    <row r="46" spans="4:11" ht="14.25" x14ac:dyDescent="0.2">
      <c r="D46" s="66" t="s">
        <v>538</v>
      </c>
    </row>
    <row r="47" spans="4:11" ht="14.25" x14ac:dyDescent="0.2">
      <c r="D47" s="66" t="s">
        <v>539</v>
      </c>
    </row>
    <row r="48" spans="4:11" ht="14.25" x14ac:dyDescent="0.2">
      <c r="D48" s="66"/>
    </row>
    <row r="49" spans="4:12" ht="14.25" x14ac:dyDescent="0.2">
      <c r="D49" s="66"/>
    </row>
    <row r="50" spans="4:12" ht="14.25" x14ac:dyDescent="0.2">
      <c r="D50" s="66"/>
    </row>
    <row r="51" spans="4:12" ht="14.25" x14ac:dyDescent="0.2">
      <c r="D51" s="66"/>
      <c r="G51" s="321"/>
    </row>
    <row r="55" spans="4:12" ht="18.75" customHeight="1" x14ac:dyDescent="0.2"/>
    <row r="56" spans="4:12" ht="15.75" customHeight="1" x14ac:dyDescent="0.2">
      <c r="E56" s="541"/>
      <c r="F56" s="541"/>
      <c r="G56" s="541"/>
      <c r="H56" s="552">
        <f>'Table 17 part 2'!B84+1</f>
        <v>20</v>
      </c>
      <c r="I56" s="541"/>
      <c r="J56" s="541"/>
      <c r="K56" s="541"/>
      <c r="L56" s="541"/>
    </row>
    <row r="57" spans="4:12" x14ac:dyDescent="0.2">
      <c r="J57" s="541"/>
      <c r="K57" s="541"/>
    </row>
  </sheetData>
  <phoneticPr fontId="38" type="noConversion"/>
  <printOptions horizontalCentered="1" verticalCentered="1"/>
  <pageMargins left="0.75" right="0.75" top="0.5" bottom="0.5" header="0" footer="0"/>
  <pageSetup scale="9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50"/>
    <pageSetUpPr fitToPage="1"/>
  </sheetPr>
  <dimension ref="B2:S111"/>
  <sheetViews>
    <sheetView showGridLines="0" zoomScaleNormal="100" zoomScaleSheetLayoutView="100" workbookViewId="0">
      <selection activeCell="B5" sqref="B5"/>
    </sheetView>
  </sheetViews>
  <sheetFormatPr defaultRowHeight="12.75" x14ac:dyDescent="0.2"/>
  <cols>
    <col min="2" max="2" width="13.42578125" bestFit="1" customWidth="1"/>
    <col min="3" max="4" width="10.140625" customWidth="1"/>
    <col min="5" max="5" width="8" customWidth="1"/>
    <col min="6" max="6" width="9.7109375" style="170" customWidth="1"/>
    <col min="7" max="7" width="1.7109375" customWidth="1"/>
    <col min="8" max="8" width="23.42578125" customWidth="1"/>
    <col min="9" max="9" width="10.28515625" customWidth="1"/>
    <col min="10" max="10" width="10.5703125" customWidth="1"/>
    <col min="11" max="11" width="9.85546875" customWidth="1"/>
    <col min="12" max="12" width="9.5703125" style="170" customWidth="1"/>
    <col min="13" max="13" width="9.140625" style="71"/>
    <col min="18" max="18" width="11.28515625" customWidth="1"/>
  </cols>
  <sheetData>
    <row r="2" spans="2:18" ht="15" x14ac:dyDescent="0.25">
      <c r="B2" s="82" t="s">
        <v>437</v>
      </c>
    </row>
    <row r="3" spans="2:18" ht="15" x14ac:dyDescent="0.25">
      <c r="B3" s="73" t="s">
        <v>491</v>
      </c>
      <c r="E3" s="73" t="str">
        <f>'table 1 &amp; 2'!C2</f>
        <v>2025 Tax Year</v>
      </c>
    </row>
    <row r="5" spans="2:18" ht="15.75" x14ac:dyDescent="0.25">
      <c r="B5" s="3" t="s">
        <v>327</v>
      </c>
      <c r="C5" s="319"/>
      <c r="D5" s="3"/>
      <c r="E5" s="3"/>
      <c r="F5" s="240"/>
      <c r="G5" s="3"/>
      <c r="H5" s="3"/>
      <c r="I5" s="3"/>
    </row>
    <row r="6" spans="2:18" ht="15.75" x14ac:dyDescent="0.25">
      <c r="B6" s="3" t="s">
        <v>506</v>
      </c>
      <c r="C6" s="3"/>
      <c r="D6" s="3"/>
      <c r="E6" s="3"/>
      <c r="F6" s="240"/>
      <c r="G6" s="3"/>
      <c r="H6" s="3"/>
      <c r="I6" s="3" t="str">
        <f>E3</f>
        <v>2025 Tax Year</v>
      </c>
    </row>
    <row r="7" spans="2:18" ht="3.75" customHeight="1" x14ac:dyDescent="0.25">
      <c r="B7" s="3"/>
      <c r="C7" s="3"/>
      <c r="D7" s="3"/>
      <c r="E7" s="3"/>
      <c r="F7" s="240"/>
      <c r="G7" s="3"/>
      <c r="H7" s="3"/>
      <c r="I7" s="3"/>
    </row>
    <row r="8" spans="2:18" x14ac:dyDescent="0.2">
      <c r="G8" s="49"/>
    </row>
    <row r="9" spans="2:18" x14ac:dyDescent="0.2">
      <c r="D9" s="46" t="s">
        <v>5</v>
      </c>
      <c r="E9" s="46" t="s">
        <v>325</v>
      </c>
      <c r="F9" s="170" t="s">
        <v>324</v>
      </c>
      <c r="G9" s="49"/>
      <c r="J9" s="46" t="s">
        <v>5</v>
      </c>
      <c r="K9" s="46" t="s">
        <v>325</v>
      </c>
      <c r="L9" s="170" t="s">
        <v>324</v>
      </c>
      <c r="N9" s="559" t="s">
        <v>602</v>
      </c>
      <c r="O9" s="560"/>
      <c r="P9" s="560"/>
      <c r="Q9" s="560"/>
      <c r="R9" s="560"/>
    </row>
    <row r="10" spans="2:18" ht="15" thickBot="1" x14ac:dyDescent="0.25">
      <c r="B10" s="47" t="s">
        <v>75</v>
      </c>
      <c r="C10" s="47" t="s">
        <v>9</v>
      </c>
      <c r="D10" s="67" t="s">
        <v>9</v>
      </c>
      <c r="E10" s="67" t="s">
        <v>323</v>
      </c>
      <c r="F10" s="171" t="s">
        <v>326</v>
      </c>
      <c r="G10" s="49"/>
      <c r="H10" s="47" t="s">
        <v>75</v>
      </c>
      <c r="I10" s="67" t="s">
        <v>9</v>
      </c>
      <c r="J10" s="67" t="s">
        <v>9</v>
      </c>
      <c r="K10" s="67" t="s">
        <v>323</v>
      </c>
      <c r="L10" s="171" t="s">
        <v>326</v>
      </c>
      <c r="N10" s="598">
        <f>SUM(K11:K62)+SUM(E11:E64)</f>
        <v>537.56899999999996</v>
      </c>
      <c r="O10" s="599" t="s">
        <v>464</v>
      </c>
      <c r="P10" s="600"/>
      <c r="Q10" s="600"/>
      <c r="R10" s="579"/>
    </row>
    <row r="11" spans="2:18" x14ac:dyDescent="0.2">
      <c r="B11" s="52" t="s">
        <v>303</v>
      </c>
      <c r="C11" s="258">
        <v>5.0369999999999999</v>
      </c>
      <c r="D11" s="258">
        <v>7.0640000000000001</v>
      </c>
      <c r="E11" s="272">
        <v>7.0640000000000001</v>
      </c>
      <c r="F11" s="259">
        <v>0.58599999999999997</v>
      </c>
      <c r="G11" s="57"/>
      <c r="H11" s="52" t="s">
        <v>279</v>
      </c>
      <c r="I11" s="258">
        <v>4.6180000000000003</v>
      </c>
      <c r="J11" s="258">
        <v>6.3680000000000003</v>
      </c>
      <c r="K11" s="272">
        <v>5.12</v>
      </c>
      <c r="L11" s="259">
        <v>2.5299999999999998</v>
      </c>
      <c r="N11" s="601">
        <f>106*7.65</f>
        <v>810.90000000000009</v>
      </c>
      <c r="O11" s="602" t="s">
        <v>465</v>
      </c>
      <c r="P11" s="602"/>
      <c r="Q11" s="602"/>
      <c r="R11" s="603"/>
    </row>
    <row r="12" spans="2:18" x14ac:dyDescent="0.2">
      <c r="B12" t="s">
        <v>76</v>
      </c>
      <c r="C12" s="71">
        <v>6.1310000000000002</v>
      </c>
      <c r="D12" s="71">
        <v>6.0919999999999996</v>
      </c>
      <c r="E12" s="172">
        <v>6.5439999999999996</v>
      </c>
      <c r="F12" s="273">
        <v>1.1060000000000001</v>
      </c>
      <c r="G12" s="49"/>
      <c r="H12" s="7" t="s">
        <v>297</v>
      </c>
      <c r="I12" s="256">
        <v>6.9109999999999996</v>
      </c>
      <c r="J12" s="256">
        <v>7.65</v>
      </c>
      <c r="K12" s="276">
        <v>7.65</v>
      </c>
      <c r="L12" s="277">
        <v>0</v>
      </c>
      <c r="M12" s="256"/>
      <c r="N12" s="604">
        <f>N10/N11</f>
        <v>0.66292884449377221</v>
      </c>
      <c r="O12" s="605" t="s">
        <v>466</v>
      </c>
      <c r="P12" s="605"/>
      <c r="Q12" s="572"/>
      <c r="R12" s="573"/>
    </row>
    <row r="13" spans="2:18" x14ac:dyDescent="0.2">
      <c r="B13" s="133" t="s">
        <v>206</v>
      </c>
      <c r="C13" s="257">
        <v>5.1719999999999997</v>
      </c>
      <c r="D13" s="257">
        <v>7.4370000000000003</v>
      </c>
      <c r="E13" s="274">
        <v>7.65</v>
      </c>
      <c r="F13" s="275">
        <v>0</v>
      </c>
      <c r="G13" s="260"/>
      <c r="H13" s="133" t="s">
        <v>111</v>
      </c>
      <c r="I13" s="257">
        <v>7.3380000000000001</v>
      </c>
      <c r="J13" s="257">
        <v>7.65</v>
      </c>
      <c r="K13" s="274">
        <v>7.65</v>
      </c>
      <c r="L13" s="275">
        <v>0</v>
      </c>
      <c r="M13" s="256"/>
    </row>
    <row r="14" spans="2:18" x14ac:dyDescent="0.2">
      <c r="B14" s="321" t="s">
        <v>441</v>
      </c>
      <c r="C14" s="330">
        <v>2.94</v>
      </c>
      <c r="D14" s="330">
        <v>2.855</v>
      </c>
      <c r="E14" s="331">
        <v>3</v>
      </c>
      <c r="F14" s="332">
        <v>4.6500000000000004</v>
      </c>
      <c r="G14" s="49"/>
      <c r="H14" t="s">
        <v>165</v>
      </c>
      <c r="I14" s="71">
        <v>2.8959999999999999</v>
      </c>
      <c r="J14" s="71">
        <v>3.2250000000000001</v>
      </c>
      <c r="K14" s="172">
        <v>3.2250000000000001</v>
      </c>
      <c r="L14" s="273">
        <v>4.4249999999999998</v>
      </c>
      <c r="N14" s="630">
        <f>SUM(F11:F64)+SUM(L11:L62)</f>
        <v>273.75599999999997</v>
      </c>
      <c r="O14" s="429" t="s">
        <v>618</v>
      </c>
      <c r="P14" s="429"/>
      <c r="Q14" s="429"/>
      <c r="R14" s="429"/>
    </row>
    <row r="15" spans="2:18" x14ac:dyDescent="0.2">
      <c r="B15" s="52" t="s">
        <v>310</v>
      </c>
      <c r="C15" s="334">
        <v>3.3879999999999999</v>
      </c>
      <c r="D15" s="258">
        <v>3.5</v>
      </c>
      <c r="E15" s="272">
        <v>3.5</v>
      </c>
      <c r="F15" s="259">
        <v>4.1500000000000004</v>
      </c>
      <c r="G15" s="49"/>
      <c r="H15" s="52" t="s">
        <v>45</v>
      </c>
      <c r="I15" s="258">
        <v>3.3380000000000001</v>
      </c>
      <c r="J15" s="258">
        <v>3.9980000000000002</v>
      </c>
      <c r="K15" s="272">
        <v>3.9980000000000002</v>
      </c>
      <c r="L15" s="259">
        <v>3.6520000000000001</v>
      </c>
      <c r="P15" s="524"/>
    </row>
    <row r="16" spans="2:18" x14ac:dyDescent="0.2">
      <c r="B16" t="s">
        <v>270</v>
      </c>
      <c r="C16" s="71">
        <v>4.5540000000000003</v>
      </c>
      <c r="D16" s="71">
        <v>6.7560000000000002</v>
      </c>
      <c r="E16" s="172">
        <v>6.8730000000000002</v>
      </c>
      <c r="F16" s="273">
        <v>0.77700000000000002</v>
      </c>
      <c r="G16" s="49"/>
      <c r="H16" s="7" t="s">
        <v>275</v>
      </c>
      <c r="I16" s="256">
        <v>7.65</v>
      </c>
      <c r="J16" s="256">
        <v>7.65</v>
      </c>
      <c r="K16" s="276">
        <v>7.65</v>
      </c>
      <c r="L16" s="277">
        <v>0</v>
      </c>
      <c r="M16" s="256"/>
    </row>
    <row r="17" spans="2:16" x14ac:dyDescent="0.2">
      <c r="B17" s="8" t="s">
        <v>109</v>
      </c>
      <c r="C17" s="307">
        <v>4.9329999999999998</v>
      </c>
      <c r="D17" s="307">
        <v>5.2249999999999996</v>
      </c>
      <c r="E17" s="308">
        <v>5.2249999999999996</v>
      </c>
      <c r="F17" s="309">
        <v>2.4249999999999998</v>
      </c>
      <c r="G17" s="260"/>
      <c r="H17" s="333" t="s">
        <v>443</v>
      </c>
      <c r="I17" s="258">
        <v>0</v>
      </c>
      <c r="J17" s="258">
        <v>0</v>
      </c>
      <c r="K17" s="272">
        <v>0</v>
      </c>
      <c r="L17" s="259">
        <v>7.65</v>
      </c>
    </row>
    <row r="18" spans="2:16" x14ac:dyDescent="0.2">
      <c r="B18" s="7" t="s">
        <v>281</v>
      </c>
      <c r="C18" s="256">
        <v>7.65</v>
      </c>
      <c r="D18" s="256">
        <v>7.65</v>
      </c>
      <c r="E18" s="276">
        <v>7.65</v>
      </c>
      <c r="F18" s="277">
        <v>0</v>
      </c>
      <c r="G18" s="49"/>
      <c r="H18" t="s">
        <v>306</v>
      </c>
      <c r="I18" s="71">
        <v>1.361</v>
      </c>
      <c r="J18" s="71">
        <v>2.2250000000000001</v>
      </c>
      <c r="K18" s="172">
        <v>2.2250000000000001</v>
      </c>
      <c r="L18" s="273">
        <v>5.4249999999999998</v>
      </c>
    </row>
    <row r="19" spans="2:16" x14ac:dyDescent="0.2">
      <c r="B19" s="52" t="s">
        <v>31</v>
      </c>
      <c r="C19" s="258">
        <v>2.9830000000000001</v>
      </c>
      <c r="D19" s="258">
        <v>5.2249999999999996</v>
      </c>
      <c r="E19" s="272">
        <v>5.7249999999999996</v>
      </c>
      <c r="F19" s="259">
        <v>1.925</v>
      </c>
      <c r="G19" s="57"/>
      <c r="H19" s="52" t="s">
        <v>181</v>
      </c>
      <c r="I19" s="258">
        <v>3.55</v>
      </c>
      <c r="J19" s="258">
        <v>5.65</v>
      </c>
      <c r="K19" s="272">
        <v>5.65</v>
      </c>
      <c r="L19" s="259">
        <v>2</v>
      </c>
    </row>
    <row r="20" spans="2:16" x14ac:dyDescent="0.2">
      <c r="B20" t="s">
        <v>277</v>
      </c>
      <c r="C20" s="71">
        <v>4.97</v>
      </c>
      <c r="D20" s="71">
        <v>6.9219999999999997</v>
      </c>
      <c r="E20" s="172">
        <v>7</v>
      </c>
      <c r="F20" s="273">
        <v>0.65</v>
      </c>
      <c r="G20" s="49"/>
      <c r="H20" t="s">
        <v>151</v>
      </c>
      <c r="I20" s="71">
        <v>0.83699999999999997</v>
      </c>
      <c r="J20" s="71">
        <v>2.2250000000000001</v>
      </c>
      <c r="K20" s="172">
        <v>2.2250000000000001</v>
      </c>
      <c r="L20" s="273">
        <v>5.4249999999999998</v>
      </c>
      <c r="P20" s="71"/>
    </row>
    <row r="21" spans="2:16" x14ac:dyDescent="0.2">
      <c r="B21" s="52" t="s">
        <v>278</v>
      </c>
      <c r="C21" s="258">
        <v>4.2249999999999996</v>
      </c>
      <c r="D21" s="258">
        <v>4.2249999999999996</v>
      </c>
      <c r="E21" s="272">
        <v>4.2249999999999996</v>
      </c>
      <c r="F21" s="259">
        <v>3.4249999999999998</v>
      </c>
      <c r="G21" s="57"/>
      <c r="H21" s="133" t="s">
        <v>219</v>
      </c>
      <c r="I21" s="257">
        <v>6.8109999999999999</v>
      </c>
      <c r="J21" s="257">
        <v>7.65</v>
      </c>
      <c r="K21" s="274">
        <v>7.65</v>
      </c>
      <c r="L21" s="275">
        <v>0</v>
      </c>
      <c r="M21" s="256"/>
    </row>
    <row r="22" spans="2:16" x14ac:dyDescent="0.2">
      <c r="B22" t="s">
        <v>241</v>
      </c>
      <c r="C22" s="71">
        <v>2.8260000000000001</v>
      </c>
      <c r="D22" s="71">
        <v>3.1749999999999998</v>
      </c>
      <c r="E22" s="172">
        <v>4.2249999999999996</v>
      </c>
      <c r="F22" s="273">
        <v>3.4249999999999998</v>
      </c>
      <c r="G22" s="49"/>
      <c r="H22" t="s">
        <v>252</v>
      </c>
      <c r="I22" s="71">
        <v>2.0179999999999998</v>
      </c>
      <c r="J22" s="71">
        <v>2.2250000000000001</v>
      </c>
      <c r="K22" s="172">
        <v>2.2250000000000001</v>
      </c>
      <c r="L22" s="273">
        <v>5.4249999999999998</v>
      </c>
    </row>
    <row r="23" spans="2:16" x14ac:dyDescent="0.2">
      <c r="B23" s="52" t="s">
        <v>301</v>
      </c>
      <c r="C23" s="258">
        <v>4.62</v>
      </c>
      <c r="D23" s="258">
        <v>6.1379999999999999</v>
      </c>
      <c r="E23" s="272">
        <v>6.2249999999999996</v>
      </c>
      <c r="F23" s="259">
        <v>1.425</v>
      </c>
      <c r="G23" s="57"/>
      <c r="H23" s="52" t="s">
        <v>282</v>
      </c>
      <c r="I23" s="258">
        <v>1.0189999999999999</v>
      </c>
      <c r="J23" s="258">
        <v>2.34</v>
      </c>
      <c r="K23" s="272">
        <v>2.34</v>
      </c>
      <c r="L23" s="259">
        <v>5.31</v>
      </c>
    </row>
    <row r="24" spans="2:16" x14ac:dyDescent="0.2">
      <c r="B24" t="s">
        <v>233</v>
      </c>
      <c r="C24" s="71">
        <v>5.476</v>
      </c>
      <c r="D24" s="71">
        <v>4.1559999999999997</v>
      </c>
      <c r="E24" s="172">
        <v>7.65</v>
      </c>
      <c r="F24" s="273">
        <v>0.42499999999999999</v>
      </c>
      <c r="G24" s="49"/>
      <c r="H24" s="7" t="s">
        <v>186</v>
      </c>
      <c r="I24" s="256">
        <v>2.5419999999999998</v>
      </c>
      <c r="J24" s="256">
        <v>7.65</v>
      </c>
      <c r="K24" s="276">
        <v>7.65</v>
      </c>
      <c r="L24" s="277">
        <v>0</v>
      </c>
    </row>
    <row r="25" spans="2:16" x14ac:dyDescent="0.2">
      <c r="B25" s="52" t="s">
        <v>193</v>
      </c>
      <c r="C25" s="258">
        <v>1.3120000000000001</v>
      </c>
      <c r="D25" s="258">
        <v>2.2250000000000001</v>
      </c>
      <c r="E25" s="272">
        <v>2.2250000000000001</v>
      </c>
      <c r="F25" s="259">
        <v>5.4249999999999998</v>
      </c>
      <c r="G25" s="57"/>
      <c r="H25" s="52" t="s">
        <v>218</v>
      </c>
      <c r="I25" s="258">
        <v>1.911</v>
      </c>
      <c r="J25" s="258">
        <v>2.2250000000000001</v>
      </c>
      <c r="K25" s="272">
        <v>2.2250000000000001</v>
      </c>
      <c r="L25" s="259">
        <v>5.4249999999999998</v>
      </c>
    </row>
    <row r="26" spans="2:16" x14ac:dyDescent="0.2">
      <c r="B26" s="321" t="s">
        <v>155</v>
      </c>
      <c r="C26" s="330">
        <v>4.0229999999999997</v>
      </c>
      <c r="D26" s="330">
        <v>3.956</v>
      </c>
      <c r="E26" s="331">
        <v>5.2249999999999996</v>
      </c>
      <c r="F26" s="332">
        <v>2.4249999999999998</v>
      </c>
      <c r="G26" s="261"/>
      <c r="H26" t="s">
        <v>146</v>
      </c>
      <c r="I26" s="71">
        <v>1.369</v>
      </c>
      <c r="J26" s="71">
        <v>2.2250000000000001</v>
      </c>
      <c r="K26" s="172">
        <v>2.2250000000000001</v>
      </c>
      <c r="L26" s="273">
        <v>5.4249999999999998</v>
      </c>
    </row>
    <row r="27" spans="2:16" x14ac:dyDescent="0.2">
      <c r="B27" s="133" t="s">
        <v>201</v>
      </c>
      <c r="C27" s="257">
        <v>5.915</v>
      </c>
      <c r="D27" s="257">
        <v>7.65</v>
      </c>
      <c r="E27" s="274">
        <v>7.65</v>
      </c>
      <c r="F27" s="275">
        <v>0</v>
      </c>
      <c r="G27" s="57"/>
      <c r="H27" s="133" t="s">
        <v>223</v>
      </c>
      <c r="I27" s="257">
        <v>4.5129999999999999</v>
      </c>
      <c r="J27" s="257">
        <v>7.2480000000000002</v>
      </c>
      <c r="K27" s="274">
        <v>7.65</v>
      </c>
      <c r="L27" s="275">
        <v>0</v>
      </c>
    </row>
    <row r="28" spans="2:16" x14ac:dyDescent="0.2">
      <c r="B28" t="s">
        <v>251</v>
      </c>
      <c r="C28" s="71">
        <v>4.9379999999999997</v>
      </c>
      <c r="D28" s="71">
        <v>4.4089999999999998</v>
      </c>
      <c r="E28" s="172">
        <v>4.9379999999999997</v>
      </c>
      <c r="F28" s="273">
        <v>2.7120000000000002</v>
      </c>
      <c r="G28" s="49"/>
      <c r="H28" t="s">
        <v>304</v>
      </c>
      <c r="I28" s="71">
        <v>0.44</v>
      </c>
      <c r="J28" s="71">
        <v>1.74</v>
      </c>
      <c r="K28" s="172">
        <v>2.2250000000000001</v>
      </c>
      <c r="L28" s="273">
        <v>5.4249999999999998</v>
      </c>
    </row>
    <row r="29" spans="2:16" x14ac:dyDescent="0.2">
      <c r="B29" s="52" t="s">
        <v>311</v>
      </c>
      <c r="C29" s="258">
        <v>0.752</v>
      </c>
      <c r="D29" s="258">
        <v>2.2250000000000001</v>
      </c>
      <c r="E29" s="272">
        <v>2.2250000000000001</v>
      </c>
      <c r="F29" s="259">
        <v>5.4249999999999998</v>
      </c>
      <c r="G29" s="57"/>
      <c r="H29" s="333" t="s">
        <v>285</v>
      </c>
      <c r="I29" s="258">
        <v>3.0019999999999998</v>
      </c>
      <c r="J29" s="258">
        <v>3.0019999999999998</v>
      </c>
      <c r="K29" s="272">
        <v>3.0019999999999998</v>
      </c>
      <c r="L29" s="259">
        <v>4.6479999999999997</v>
      </c>
    </row>
    <row r="30" spans="2:16" x14ac:dyDescent="0.2">
      <c r="B30" s="321" t="s">
        <v>244</v>
      </c>
      <c r="C30" s="330">
        <v>4.5839999999999996</v>
      </c>
      <c r="D30" s="330">
        <v>4.3710000000000004</v>
      </c>
      <c r="E30" s="331">
        <v>4.7249999999999996</v>
      </c>
      <c r="F30" s="332">
        <v>2.9249999999999998</v>
      </c>
      <c r="G30" s="261"/>
      <c r="H30" t="s">
        <v>176</v>
      </c>
      <c r="I30" s="71">
        <v>4.1050000000000004</v>
      </c>
      <c r="J30" s="71">
        <v>4.6909999999999998</v>
      </c>
      <c r="K30" s="172">
        <v>4.6950000000000003</v>
      </c>
      <c r="L30" s="273">
        <v>2.9550000000000001</v>
      </c>
    </row>
    <row r="31" spans="2:16" x14ac:dyDescent="0.2">
      <c r="B31" s="133" t="s">
        <v>269</v>
      </c>
      <c r="C31" s="257">
        <v>3.43</v>
      </c>
      <c r="D31" s="257">
        <v>6.8079999999999998</v>
      </c>
      <c r="E31" s="274">
        <v>7.65</v>
      </c>
      <c r="F31" s="275">
        <v>0</v>
      </c>
      <c r="G31" s="57"/>
      <c r="H31" s="52" t="s">
        <v>173</v>
      </c>
      <c r="I31" s="258">
        <v>4.6369999999999996</v>
      </c>
      <c r="J31" s="258">
        <v>5.2249999999999996</v>
      </c>
      <c r="K31" s="272">
        <v>5.2249999999999996</v>
      </c>
      <c r="L31" s="259">
        <v>2.4249999999999998</v>
      </c>
    </row>
    <row r="32" spans="2:16" x14ac:dyDescent="0.2">
      <c r="B32" t="s">
        <v>237</v>
      </c>
      <c r="C32" s="71">
        <v>3.4319999999999999</v>
      </c>
      <c r="D32" s="71">
        <v>2.605</v>
      </c>
      <c r="E32" s="172">
        <v>4.4249999999999998</v>
      </c>
      <c r="F32" s="273">
        <v>3.2250000000000001</v>
      </c>
      <c r="G32" s="49"/>
      <c r="H32" s="7" t="s">
        <v>210</v>
      </c>
      <c r="I32" s="256">
        <v>6.391</v>
      </c>
      <c r="J32" s="256">
        <v>7.65</v>
      </c>
      <c r="K32" s="276">
        <v>7.65</v>
      </c>
      <c r="L32" s="277">
        <v>0</v>
      </c>
    </row>
    <row r="33" spans="2:12" x14ac:dyDescent="0.2">
      <c r="B33" s="8" t="s">
        <v>90</v>
      </c>
      <c r="C33" s="307">
        <v>3.5070000000000001</v>
      </c>
      <c r="D33" s="307">
        <v>5.984</v>
      </c>
      <c r="E33" s="308">
        <v>6.87</v>
      </c>
      <c r="F33" s="309">
        <v>0.78</v>
      </c>
      <c r="G33" s="260"/>
      <c r="H33" s="133" t="s">
        <v>177</v>
      </c>
      <c r="I33" s="257">
        <v>6.9690000000000003</v>
      </c>
      <c r="J33" s="257">
        <v>4.6890000000000001</v>
      </c>
      <c r="K33" s="274">
        <v>7.65</v>
      </c>
      <c r="L33" s="275">
        <v>0</v>
      </c>
    </row>
    <row r="34" spans="2:12" x14ac:dyDescent="0.2">
      <c r="B34" s="7" t="s">
        <v>234</v>
      </c>
      <c r="C34" s="256">
        <v>3.4980000000000002</v>
      </c>
      <c r="D34" s="256">
        <v>7.65</v>
      </c>
      <c r="E34" s="276">
        <v>7.65</v>
      </c>
      <c r="F34" s="277">
        <v>0</v>
      </c>
      <c r="G34" s="49"/>
      <c r="H34" t="s">
        <v>118</v>
      </c>
      <c r="I34" s="71">
        <v>2.2250000000000001</v>
      </c>
      <c r="J34" s="71">
        <v>2.0979999999999999</v>
      </c>
      <c r="K34" s="172">
        <v>2.2250000000000001</v>
      </c>
      <c r="L34" s="273">
        <v>5.4249999999999998</v>
      </c>
    </row>
    <row r="35" spans="2:12" x14ac:dyDescent="0.2">
      <c r="B35" s="52" t="s">
        <v>265</v>
      </c>
      <c r="C35" s="258">
        <v>4.4409999999999998</v>
      </c>
      <c r="D35" s="258">
        <v>4.3920000000000003</v>
      </c>
      <c r="E35" s="272">
        <v>4.4749999999999996</v>
      </c>
      <c r="F35" s="259">
        <v>3.1749999999999998</v>
      </c>
      <c r="G35" s="57"/>
      <c r="H35" s="333" t="s">
        <v>476</v>
      </c>
      <c r="I35" s="334">
        <v>2.75</v>
      </c>
      <c r="J35" s="334">
        <v>2.75</v>
      </c>
      <c r="K35" s="335">
        <v>2.75</v>
      </c>
      <c r="L35" s="336">
        <v>4.9000000000000004</v>
      </c>
    </row>
    <row r="36" spans="2:12" x14ac:dyDescent="0.2">
      <c r="B36" t="s">
        <v>253</v>
      </c>
      <c r="C36" s="71">
        <v>4.0410000000000004</v>
      </c>
      <c r="D36" s="71">
        <v>4.9379999999999997</v>
      </c>
      <c r="E36" s="172">
        <v>4.9379999999999997</v>
      </c>
      <c r="F36" s="273">
        <v>2.7120000000000002</v>
      </c>
      <c r="G36" s="49"/>
      <c r="H36" s="7" t="s">
        <v>95</v>
      </c>
      <c r="I36" s="256">
        <v>6.6360000000000001</v>
      </c>
      <c r="J36" s="256">
        <v>7.6079999999999997</v>
      </c>
      <c r="K36" s="276">
        <v>7.65</v>
      </c>
      <c r="L36" s="277">
        <v>0</v>
      </c>
    </row>
    <row r="37" spans="2:12" x14ac:dyDescent="0.2">
      <c r="B37" s="52" t="s">
        <v>148</v>
      </c>
      <c r="C37" s="258">
        <v>1.161</v>
      </c>
      <c r="D37" s="258">
        <v>2.1909999999999998</v>
      </c>
      <c r="E37" s="272">
        <v>2.2250000000000001</v>
      </c>
      <c r="F37" s="259">
        <v>5.4249999999999998</v>
      </c>
      <c r="G37" s="57"/>
      <c r="H37" s="133" t="s">
        <v>138</v>
      </c>
      <c r="I37" s="257">
        <v>6.5129999999999999</v>
      </c>
      <c r="J37" s="257">
        <v>6.6920000000000002</v>
      </c>
      <c r="K37" s="274">
        <v>7.65</v>
      </c>
      <c r="L37" s="275">
        <v>0</v>
      </c>
    </row>
    <row r="38" spans="2:12" x14ac:dyDescent="0.2">
      <c r="B38" t="s">
        <v>199</v>
      </c>
      <c r="C38" s="71">
        <v>1.456</v>
      </c>
      <c r="D38" s="71">
        <v>2.19</v>
      </c>
      <c r="E38" s="172">
        <v>2.2250000000000001</v>
      </c>
      <c r="F38" s="273">
        <v>5.4249999999999998</v>
      </c>
      <c r="G38" s="49"/>
      <c r="H38" t="s">
        <v>140</v>
      </c>
      <c r="I38" s="71">
        <v>1.4530000000000001</v>
      </c>
      <c r="J38" s="71">
        <v>2.2250000000000001</v>
      </c>
      <c r="K38" s="172">
        <v>2.2250000000000001</v>
      </c>
      <c r="L38" s="273">
        <v>5.4249999999999998</v>
      </c>
    </row>
    <row r="39" spans="2:12" x14ac:dyDescent="0.2">
      <c r="B39" s="52" t="s">
        <v>204</v>
      </c>
      <c r="C39" s="258">
        <v>1.7729999999999999</v>
      </c>
      <c r="D39" s="258">
        <v>2.9119999999999999</v>
      </c>
      <c r="E39" s="272">
        <v>3.2250000000000001</v>
      </c>
      <c r="F39" s="259">
        <v>4.4249999999999998</v>
      </c>
      <c r="G39" s="57"/>
      <c r="H39" s="333" t="s">
        <v>226</v>
      </c>
      <c r="I39" s="334">
        <v>5.319</v>
      </c>
      <c r="J39" s="334">
        <v>3.57</v>
      </c>
      <c r="K39" s="335">
        <v>6.3680000000000003</v>
      </c>
      <c r="L39" s="336">
        <v>1.282</v>
      </c>
    </row>
    <row r="40" spans="2:12" x14ac:dyDescent="0.2">
      <c r="B40" s="321" t="s">
        <v>100</v>
      </c>
      <c r="C40" s="71">
        <v>2.6960000000000002</v>
      </c>
      <c r="D40" s="71">
        <v>3</v>
      </c>
      <c r="E40" s="172">
        <v>3</v>
      </c>
      <c r="F40" s="273">
        <v>4.6500000000000004</v>
      </c>
      <c r="G40" s="49"/>
      <c r="H40" s="7" t="s">
        <v>230</v>
      </c>
      <c r="I40" s="256">
        <v>4.4279999999999999</v>
      </c>
      <c r="J40" s="256">
        <v>6.7750000000000004</v>
      </c>
      <c r="K40" s="276">
        <v>7.65</v>
      </c>
      <c r="L40" s="277">
        <v>0</v>
      </c>
    </row>
    <row r="41" spans="2:12" x14ac:dyDescent="0.2">
      <c r="B41" s="52" t="s">
        <v>136</v>
      </c>
      <c r="C41" s="258">
        <v>4.1159999999999997</v>
      </c>
      <c r="D41" s="258">
        <v>4.1189999999999998</v>
      </c>
      <c r="E41" s="272">
        <v>4.2249999999999996</v>
      </c>
      <c r="F41" s="259">
        <v>3.4249999999999998</v>
      </c>
      <c r="G41" s="57"/>
      <c r="H41" s="133" t="s">
        <v>116</v>
      </c>
      <c r="I41" s="257">
        <v>5.4749999999999996</v>
      </c>
      <c r="J41" s="257">
        <v>7.2759999999999998</v>
      </c>
      <c r="K41" s="274">
        <v>7.65</v>
      </c>
      <c r="L41" s="275">
        <v>0</v>
      </c>
    </row>
    <row r="42" spans="2:12" x14ac:dyDescent="0.2">
      <c r="B42" t="s">
        <v>182</v>
      </c>
      <c r="C42" s="71">
        <v>1.484</v>
      </c>
      <c r="D42" s="71">
        <v>1.855</v>
      </c>
      <c r="E42" s="172">
        <v>2.2250000000000001</v>
      </c>
      <c r="F42" s="273">
        <v>5.4249999999999998</v>
      </c>
      <c r="G42" s="49"/>
      <c r="H42" s="7" t="s">
        <v>242</v>
      </c>
      <c r="I42" s="256">
        <v>6.2750000000000004</v>
      </c>
      <c r="J42" s="256">
        <v>7.65</v>
      </c>
      <c r="K42" s="276">
        <v>7.65</v>
      </c>
      <c r="L42" s="277">
        <v>0</v>
      </c>
    </row>
    <row r="43" spans="2:12" x14ac:dyDescent="0.2">
      <c r="B43" s="8" t="s">
        <v>228</v>
      </c>
      <c r="C43" s="307">
        <v>1.6579999999999999</v>
      </c>
      <c r="D43" s="307">
        <v>0.26400000000000001</v>
      </c>
      <c r="E43" s="308">
        <v>2.2250000000000001</v>
      </c>
      <c r="F43" s="309">
        <v>5.4249999999999998</v>
      </c>
      <c r="G43" s="260"/>
      <c r="H43" s="52" t="s">
        <v>114</v>
      </c>
      <c r="I43" s="258">
        <v>3.0470000000000002</v>
      </c>
      <c r="J43" s="258">
        <v>4.2249999999999996</v>
      </c>
      <c r="K43" s="272">
        <v>4.2249999999999996</v>
      </c>
      <c r="L43" s="259">
        <v>3.4249999999999998</v>
      </c>
    </row>
    <row r="44" spans="2:12" x14ac:dyDescent="0.2">
      <c r="B44" s="7" t="s">
        <v>93</v>
      </c>
      <c r="C44" s="256">
        <v>3.347</v>
      </c>
      <c r="D44" s="256">
        <v>7.4210000000000003</v>
      </c>
      <c r="E44" s="276">
        <v>7.65</v>
      </c>
      <c r="F44" s="277">
        <v>0</v>
      </c>
      <c r="G44" s="49"/>
      <c r="H44" t="s">
        <v>56</v>
      </c>
      <c r="I44" s="71">
        <v>1.446</v>
      </c>
      <c r="J44" s="71">
        <v>3.1829999999999998</v>
      </c>
      <c r="K44" s="172">
        <v>3.1829999999999998</v>
      </c>
      <c r="L44" s="273">
        <v>4.4669999999999996</v>
      </c>
    </row>
    <row r="45" spans="2:12" x14ac:dyDescent="0.2">
      <c r="B45" s="8" t="s">
        <v>208</v>
      </c>
      <c r="C45" s="307">
        <v>2.3279999999999998</v>
      </c>
      <c r="D45" s="307">
        <v>2.75</v>
      </c>
      <c r="E45" s="308">
        <v>2.75</v>
      </c>
      <c r="F45" s="309">
        <v>4.9000000000000004</v>
      </c>
      <c r="G45" s="260"/>
      <c r="H45" s="52" t="s">
        <v>127</v>
      </c>
      <c r="I45" s="258">
        <v>4.4939999999999998</v>
      </c>
      <c r="J45" s="258">
        <v>4.867</v>
      </c>
      <c r="K45" s="272">
        <v>4.9379999999999997</v>
      </c>
      <c r="L45" s="259">
        <v>2.7120000000000002</v>
      </c>
    </row>
    <row r="46" spans="2:12" x14ac:dyDescent="0.2">
      <c r="B46" s="7" t="s">
        <v>188</v>
      </c>
      <c r="C46" s="256">
        <v>5.2380000000000004</v>
      </c>
      <c r="D46" s="256">
        <v>7.65</v>
      </c>
      <c r="E46" s="276">
        <v>7.65</v>
      </c>
      <c r="F46" s="277">
        <v>0</v>
      </c>
      <c r="G46" s="49"/>
      <c r="H46" t="s">
        <v>97</v>
      </c>
      <c r="I46" s="71">
        <v>2.843</v>
      </c>
      <c r="J46" s="71">
        <v>3.8250000000000002</v>
      </c>
      <c r="K46" s="172">
        <v>3.8250000000000002</v>
      </c>
      <c r="L46" s="273">
        <v>3.8250000000000002</v>
      </c>
    </row>
    <row r="47" spans="2:12" x14ac:dyDescent="0.2">
      <c r="B47" s="133" t="s">
        <v>274</v>
      </c>
      <c r="C47" s="257">
        <v>1.452</v>
      </c>
      <c r="D47" s="257">
        <v>7.65</v>
      </c>
      <c r="E47" s="274">
        <v>7.65</v>
      </c>
      <c r="F47" s="275">
        <v>0</v>
      </c>
      <c r="G47" s="57"/>
      <c r="H47" s="333" t="s">
        <v>58</v>
      </c>
      <c r="I47" s="334">
        <v>5.3769999999999998</v>
      </c>
      <c r="J47" s="334">
        <v>5.6230000000000002</v>
      </c>
      <c r="K47" s="335">
        <v>5.8129999999999997</v>
      </c>
      <c r="L47" s="336">
        <v>1.837</v>
      </c>
    </row>
    <row r="48" spans="2:12" x14ac:dyDescent="0.2">
      <c r="B48" t="s">
        <v>189</v>
      </c>
      <c r="C48" s="71">
        <v>1.39</v>
      </c>
      <c r="D48" s="71">
        <v>2.2250000000000001</v>
      </c>
      <c r="E48" s="172">
        <v>2.2250000000000001</v>
      </c>
      <c r="F48" s="273">
        <v>5.4249999999999998</v>
      </c>
      <c r="G48" s="49"/>
      <c r="H48" s="7" t="s">
        <v>216</v>
      </c>
      <c r="I48" s="256">
        <v>6.3929999999999998</v>
      </c>
      <c r="J48" s="256">
        <v>7.65</v>
      </c>
      <c r="K48" s="276">
        <v>7.65</v>
      </c>
      <c r="L48" s="277">
        <v>0</v>
      </c>
    </row>
    <row r="49" spans="2:12" x14ac:dyDescent="0.2">
      <c r="B49" s="52" t="s">
        <v>258</v>
      </c>
      <c r="C49" s="258">
        <v>3.3679999999999999</v>
      </c>
      <c r="D49" s="258">
        <v>3.823</v>
      </c>
      <c r="E49" s="272">
        <v>5.4249999999999998</v>
      </c>
      <c r="F49" s="259">
        <v>2.2250000000000001</v>
      </c>
      <c r="G49" s="57"/>
      <c r="H49" s="133" t="s">
        <v>287</v>
      </c>
      <c r="I49" s="257">
        <v>6.2720000000000002</v>
      </c>
      <c r="J49" s="257">
        <v>7.1109999999999998</v>
      </c>
      <c r="K49" s="274">
        <v>7.65</v>
      </c>
      <c r="L49" s="275">
        <v>0</v>
      </c>
    </row>
    <row r="50" spans="2:12" x14ac:dyDescent="0.2">
      <c r="B50" s="6" t="s">
        <v>272</v>
      </c>
      <c r="C50" s="243">
        <v>1.94</v>
      </c>
      <c r="D50" s="243">
        <v>2.2250000000000001</v>
      </c>
      <c r="E50" s="310">
        <v>2.2250000000000001</v>
      </c>
      <c r="F50" s="311">
        <v>5.4249999999999998</v>
      </c>
      <c r="G50" s="261"/>
      <c r="H50" t="s">
        <v>59</v>
      </c>
      <c r="I50" s="71">
        <v>2.7919999999999998</v>
      </c>
      <c r="J50" s="71">
        <v>4.1929999999999996</v>
      </c>
      <c r="K50" s="172">
        <v>4.2249999999999996</v>
      </c>
      <c r="L50" s="273">
        <v>3.4249999999999998</v>
      </c>
    </row>
    <row r="51" spans="2:12" x14ac:dyDescent="0.2">
      <c r="B51" s="133" t="s">
        <v>276</v>
      </c>
      <c r="C51" s="257">
        <v>6.859</v>
      </c>
      <c r="D51" s="257">
        <v>7.65</v>
      </c>
      <c r="E51" s="274">
        <v>7.65</v>
      </c>
      <c r="F51" s="275">
        <v>0</v>
      </c>
      <c r="G51" s="303"/>
      <c r="H51" s="303" t="s">
        <v>184</v>
      </c>
      <c r="I51" s="257">
        <v>7.4710000000000001</v>
      </c>
      <c r="J51" s="257">
        <v>6.9589999999999996</v>
      </c>
      <c r="K51" s="274">
        <v>7.65</v>
      </c>
      <c r="L51" s="275">
        <v>0</v>
      </c>
    </row>
    <row r="52" spans="2:12" x14ac:dyDescent="0.2">
      <c r="B52" s="7" t="s">
        <v>255</v>
      </c>
      <c r="C52" s="256">
        <v>6.22</v>
      </c>
      <c r="D52" s="256">
        <v>7.5780000000000003</v>
      </c>
      <c r="E52" s="276">
        <v>7.65</v>
      </c>
      <c r="F52" s="277">
        <v>0</v>
      </c>
      <c r="G52" s="49"/>
      <c r="H52" s="321" t="s">
        <v>202</v>
      </c>
      <c r="I52" s="330">
        <v>2.99</v>
      </c>
      <c r="J52" s="330">
        <v>4.2249999999999996</v>
      </c>
      <c r="K52" s="331">
        <v>4.2249999999999996</v>
      </c>
      <c r="L52" s="332">
        <v>3.4249999999999998</v>
      </c>
    </row>
    <row r="53" spans="2:12" x14ac:dyDescent="0.2">
      <c r="B53" s="8" t="s">
        <v>179</v>
      </c>
      <c r="C53" s="307">
        <v>4.2240000000000002</v>
      </c>
      <c r="D53" s="307">
        <v>4.5549999999999997</v>
      </c>
      <c r="E53" s="308">
        <v>4.5549999999999997</v>
      </c>
      <c r="F53" s="309">
        <v>3.0950000000000002</v>
      </c>
      <c r="G53" s="260"/>
      <c r="H53" s="52" t="s">
        <v>248</v>
      </c>
      <c r="I53" s="258">
        <v>1.9339999999999999</v>
      </c>
      <c r="J53" s="258">
        <v>2.2250000000000001</v>
      </c>
      <c r="K53" s="272">
        <v>2.2250000000000001</v>
      </c>
      <c r="L53" s="259">
        <v>5.4249999999999998</v>
      </c>
    </row>
    <row r="54" spans="2:12" x14ac:dyDescent="0.2">
      <c r="B54" s="7" t="s">
        <v>261</v>
      </c>
      <c r="C54" s="256">
        <v>5.8330000000000002</v>
      </c>
      <c r="D54" s="256">
        <v>6.8550000000000004</v>
      </c>
      <c r="E54" s="276">
        <v>7.65</v>
      </c>
      <c r="F54" s="277">
        <v>0</v>
      </c>
      <c r="G54" s="49"/>
      <c r="H54" t="s">
        <v>86</v>
      </c>
      <c r="I54" s="71">
        <v>0.88300000000000001</v>
      </c>
      <c r="J54" s="71">
        <v>2.2250000000000001</v>
      </c>
      <c r="K54" s="172">
        <v>2.2250000000000001</v>
      </c>
      <c r="L54" s="273">
        <v>5.4249999999999998</v>
      </c>
    </row>
    <row r="55" spans="2:12" x14ac:dyDescent="0.2">
      <c r="B55" s="52" t="s">
        <v>144</v>
      </c>
      <c r="C55" s="258">
        <v>1.633</v>
      </c>
      <c r="D55" s="258">
        <v>2.1339999999999999</v>
      </c>
      <c r="E55" s="272">
        <v>2.2250000000000001</v>
      </c>
      <c r="F55" s="259">
        <v>5.4249999999999998</v>
      </c>
      <c r="G55" s="57"/>
      <c r="H55" s="333" t="s">
        <v>553</v>
      </c>
      <c r="I55" s="334">
        <v>1.4690000000000001</v>
      </c>
      <c r="J55" s="334">
        <v>2.2250000000000001</v>
      </c>
      <c r="K55" s="335">
        <v>2.2250000000000001</v>
      </c>
      <c r="L55" s="336">
        <v>5.4249999999999998</v>
      </c>
    </row>
    <row r="56" spans="2:12" x14ac:dyDescent="0.2">
      <c r="B56" t="s">
        <v>290</v>
      </c>
      <c r="C56" s="71">
        <v>5.2869999999999999</v>
      </c>
      <c r="D56" s="71">
        <v>5.2370000000000001</v>
      </c>
      <c r="E56" s="172">
        <v>5.5</v>
      </c>
      <c r="F56" s="273">
        <v>2.15</v>
      </c>
      <c r="G56" s="49"/>
      <c r="H56" s="7" t="s">
        <v>99</v>
      </c>
      <c r="I56" s="256">
        <v>3.8860000000000001</v>
      </c>
      <c r="J56" s="256">
        <v>7.65</v>
      </c>
      <c r="K56" s="276">
        <v>7.65</v>
      </c>
      <c r="L56" s="277">
        <v>0</v>
      </c>
    </row>
    <row r="57" spans="2:12" x14ac:dyDescent="0.2">
      <c r="B57" s="8" t="s">
        <v>191</v>
      </c>
      <c r="C57" s="307">
        <v>3.8340000000000001</v>
      </c>
      <c r="D57" s="307">
        <v>5.5549999999999997</v>
      </c>
      <c r="E57" s="308">
        <v>5.5549999999999997</v>
      </c>
      <c r="F57" s="309">
        <v>2.0950000000000002</v>
      </c>
      <c r="G57" s="260"/>
      <c r="H57" s="133" t="s">
        <v>308</v>
      </c>
      <c r="I57" s="257">
        <v>5.3650000000000002</v>
      </c>
      <c r="J57" s="257">
        <v>7.6310000000000002</v>
      </c>
      <c r="K57" s="274">
        <v>7.65</v>
      </c>
      <c r="L57" s="275">
        <v>0</v>
      </c>
    </row>
    <row r="58" spans="2:12" x14ac:dyDescent="0.2">
      <c r="B58" s="7" t="s">
        <v>78</v>
      </c>
      <c r="C58" s="256">
        <v>4.0730000000000004</v>
      </c>
      <c r="D58" s="256">
        <v>7.65</v>
      </c>
      <c r="E58" s="276">
        <v>7.65</v>
      </c>
      <c r="F58" s="277">
        <v>0</v>
      </c>
      <c r="G58" s="261"/>
      <c r="H58" s="7" t="s">
        <v>133</v>
      </c>
      <c r="I58" s="256">
        <v>7.65</v>
      </c>
      <c r="J58" s="256">
        <v>7.65</v>
      </c>
      <c r="K58" s="276">
        <v>7.65</v>
      </c>
      <c r="L58" s="277">
        <v>0</v>
      </c>
    </row>
    <row r="59" spans="2:12" x14ac:dyDescent="0.2">
      <c r="B59" s="133" t="s">
        <v>105</v>
      </c>
      <c r="C59" s="257">
        <v>7.5880000000000001</v>
      </c>
      <c r="D59" s="257">
        <v>7.65</v>
      </c>
      <c r="E59" s="274">
        <v>7.65</v>
      </c>
      <c r="F59" s="275">
        <v>0</v>
      </c>
      <c r="G59" s="57"/>
      <c r="H59" s="333" t="s">
        <v>167</v>
      </c>
      <c r="I59" s="334">
        <v>1.2250000000000001</v>
      </c>
      <c r="J59" s="334">
        <v>2.2010000000000001</v>
      </c>
      <c r="K59" s="335">
        <v>2.2250000000000001</v>
      </c>
      <c r="L59" s="336">
        <v>5.4249999999999998</v>
      </c>
    </row>
    <row r="60" spans="2:12" x14ac:dyDescent="0.2">
      <c r="B60" s="6" t="s">
        <v>103</v>
      </c>
      <c r="C60" s="243">
        <v>4.6639999999999997</v>
      </c>
      <c r="D60" s="243">
        <v>5.2249999999999996</v>
      </c>
      <c r="E60" s="310">
        <v>5.2249999999999996</v>
      </c>
      <c r="F60" s="311">
        <v>2.4249999999999998</v>
      </c>
      <c r="G60" s="261"/>
      <c r="H60" s="7" t="s">
        <v>289</v>
      </c>
      <c r="I60" s="256">
        <v>6.0759999999999996</v>
      </c>
      <c r="J60" s="256">
        <v>7.5430000000000001</v>
      </c>
      <c r="K60" s="276">
        <v>7.65</v>
      </c>
      <c r="L60" s="277">
        <v>0</v>
      </c>
    </row>
    <row r="61" spans="2:12" x14ac:dyDescent="0.2">
      <c r="B61" s="133" t="s">
        <v>197</v>
      </c>
      <c r="C61" s="257">
        <v>5.2690000000000001</v>
      </c>
      <c r="D61" s="257">
        <v>7.65</v>
      </c>
      <c r="E61" s="274">
        <v>7.65</v>
      </c>
      <c r="F61" s="275">
        <v>0</v>
      </c>
      <c r="G61" s="57"/>
      <c r="H61" s="52" t="s">
        <v>214</v>
      </c>
      <c r="I61" s="258">
        <v>5.2249999999999996</v>
      </c>
      <c r="J61" s="258">
        <v>5.2249999999999996</v>
      </c>
      <c r="K61" s="272">
        <v>5.2249999999999996</v>
      </c>
      <c r="L61" s="259">
        <v>2.4249999999999998</v>
      </c>
    </row>
    <row r="62" spans="2:12" x14ac:dyDescent="0.2">
      <c r="B62" t="s">
        <v>238</v>
      </c>
      <c r="C62" s="71">
        <v>3.3220000000000001</v>
      </c>
      <c r="D62" s="71">
        <v>4.5830000000000002</v>
      </c>
      <c r="E62" s="172">
        <v>5.95</v>
      </c>
      <c r="F62" s="273">
        <v>1.7</v>
      </c>
      <c r="G62" s="49"/>
      <c r="H62" t="s">
        <v>130</v>
      </c>
      <c r="I62" s="71">
        <v>1.649</v>
      </c>
      <c r="J62" s="370">
        <v>2.2250000000000001</v>
      </c>
      <c r="K62" s="71">
        <v>2.2250000000000001</v>
      </c>
      <c r="L62" s="273">
        <v>5.4249999999999998</v>
      </c>
    </row>
    <row r="63" spans="2:12" x14ac:dyDescent="0.2">
      <c r="B63" s="415" t="s">
        <v>530</v>
      </c>
      <c r="C63" s="412">
        <v>0</v>
      </c>
      <c r="D63" s="412">
        <v>0</v>
      </c>
      <c r="E63" s="413">
        <v>0</v>
      </c>
      <c r="F63" s="414">
        <v>7.65</v>
      </c>
      <c r="G63" s="419"/>
      <c r="H63" s="411"/>
      <c r="I63" s="416"/>
      <c r="J63" s="417"/>
      <c r="K63" s="416"/>
      <c r="L63" s="418"/>
    </row>
    <row r="64" spans="2:12" ht="13.5" thickBot="1" x14ac:dyDescent="0.25">
      <c r="B64" s="47" t="s">
        <v>153</v>
      </c>
      <c r="C64" s="420">
        <v>1.986</v>
      </c>
      <c r="D64" s="420">
        <v>2.2250000000000001</v>
      </c>
      <c r="E64" s="421">
        <v>2.2250000000000001</v>
      </c>
      <c r="F64" s="422">
        <v>5.4249999999999998</v>
      </c>
      <c r="G64" s="62"/>
      <c r="H64" s="362" t="s">
        <v>444</v>
      </c>
      <c r="I64" s="423">
        <f>(SUM(I11:I62)+SUM(C11:C64))/106</f>
        <v>3.8373962264150943</v>
      </c>
      <c r="J64" s="423">
        <f>(SUM(J11:J62)+SUM(D11:D64))/106</f>
        <v>4.8015188679245284</v>
      </c>
      <c r="K64" s="423">
        <f>(SUM(K11:K62)+SUM(E11:E64))/106</f>
        <v>5.0714056603773585</v>
      </c>
      <c r="L64" s="423">
        <f>(SUM(L11:L62)+SUM(F11:F64))/106</f>
        <v>2.5826037735849052</v>
      </c>
    </row>
    <row r="65" spans="2:19" x14ac:dyDescent="0.2">
      <c r="B65" s="6" t="s">
        <v>407</v>
      </c>
    </row>
    <row r="66" spans="2:19" ht="14.25" x14ac:dyDescent="0.2">
      <c r="B66" s="66" t="s">
        <v>414</v>
      </c>
    </row>
    <row r="67" spans="2:19" x14ac:dyDescent="0.2">
      <c r="B67" s="321" t="s">
        <v>507</v>
      </c>
    </row>
    <row r="68" spans="2:19" x14ac:dyDescent="0.2">
      <c r="C68" s="71"/>
      <c r="D68" s="71"/>
      <c r="E68" s="71"/>
      <c r="F68" s="71"/>
      <c r="G68" s="71"/>
      <c r="H68" s="71"/>
      <c r="I68" s="71"/>
      <c r="J68" s="71"/>
      <c r="K68" s="71"/>
      <c r="L68" s="71"/>
    </row>
    <row r="69" spans="2:19" x14ac:dyDescent="0.2">
      <c r="B69" s="633">
        <f>'Table 18'!H56+1</f>
        <v>21</v>
      </c>
      <c r="C69" s="633"/>
      <c r="D69" s="633"/>
      <c r="E69" s="633"/>
      <c r="F69" s="633"/>
      <c r="G69" s="633"/>
      <c r="H69" s="633"/>
      <c r="I69" s="633"/>
      <c r="J69" s="633"/>
      <c r="K69" s="633"/>
      <c r="L69" s="633"/>
    </row>
    <row r="73" spans="2:19" x14ac:dyDescent="0.2">
      <c r="S73" s="7"/>
    </row>
    <row r="76" spans="2:19" x14ac:dyDescent="0.2">
      <c r="S76" s="7"/>
    </row>
    <row r="79" spans="2:19" x14ac:dyDescent="0.2">
      <c r="S79" s="7"/>
    </row>
    <row r="84" spans="19:19" x14ac:dyDescent="0.2">
      <c r="S84" s="7"/>
    </row>
    <row r="85" spans="19:19" x14ac:dyDescent="0.2">
      <c r="S85" s="7"/>
    </row>
    <row r="87" spans="19:19" x14ac:dyDescent="0.2">
      <c r="S87" s="7"/>
    </row>
    <row r="88" spans="19:19" x14ac:dyDescent="0.2">
      <c r="S88" s="7"/>
    </row>
    <row r="91" spans="19:19" x14ac:dyDescent="0.2">
      <c r="S91" s="7"/>
    </row>
    <row r="92" spans="19:19" x14ac:dyDescent="0.2">
      <c r="S92" s="7"/>
    </row>
    <row r="93" spans="19:19" x14ac:dyDescent="0.2">
      <c r="S93" s="7"/>
    </row>
    <row r="99" spans="19:19" x14ac:dyDescent="0.2">
      <c r="S99" s="7"/>
    </row>
    <row r="107" spans="19:19" x14ac:dyDescent="0.2">
      <c r="S107" s="7"/>
    </row>
    <row r="108" spans="19:19" x14ac:dyDescent="0.2">
      <c r="S108" s="7"/>
    </row>
    <row r="109" spans="19:19" x14ac:dyDescent="0.2">
      <c r="S109" s="7"/>
    </row>
    <row r="111" spans="19:19" x14ac:dyDescent="0.2">
      <c r="S111" s="7"/>
    </row>
  </sheetData>
  <mergeCells count="1">
    <mergeCell ref="B69:L69"/>
  </mergeCells>
  <phoneticPr fontId="38" type="noConversion"/>
  <pageMargins left="0.75" right="0.75" top="0.71" bottom="0.55000000000000004" header="0.5" footer="0.27"/>
  <pageSetup scale="72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50"/>
    <pageSetUpPr fitToPage="1"/>
  </sheetPr>
  <dimension ref="C1:AO123"/>
  <sheetViews>
    <sheetView showZeros="0" zoomScaleNormal="100" zoomScaleSheetLayoutView="90" workbookViewId="0">
      <selection activeCell="C4" sqref="C4"/>
    </sheetView>
  </sheetViews>
  <sheetFormatPr defaultRowHeight="12.75" x14ac:dyDescent="0.2"/>
  <cols>
    <col min="3" max="3" width="13.42578125" customWidth="1"/>
    <col min="4" max="7" width="16" customWidth="1"/>
    <col min="8" max="8" width="13.7109375" customWidth="1"/>
    <col min="9" max="9" width="13.140625" customWidth="1"/>
    <col min="10" max="10" width="13.5703125" customWidth="1"/>
    <col min="12" max="12" width="9.140625" hidden="1" customWidth="1"/>
    <col min="13" max="13" width="14.42578125" hidden="1" customWidth="1"/>
    <col min="14" max="14" width="17.7109375" style="169" hidden="1" customWidth="1"/>
    <col min="15" max="26" width="9.140625" hidden="1" customWidth="1"/>
    <col min="27" max="27" width="20.42578125" customWidth="1"/>
    <col min="28" max="28" width="23" customWidth="1"/>
    <col min="29" max="29" width="18.42578125" customWidth="1"/>
    <col min="30" max="30" width="14" customWidth="1"/>
    <col min="31" max="31" width="21.7109375" customWidth="1"/>
    <col min="32" max="32" width="14.85546875" bestFit="1" customWidth="1"/>
    <col min="33" max="33" width="15.42578125" bestFit="1" customWidth="1"/>
    <col min="34" max="34" width="16.7109375" customWidth="1"/>
    <col min="35" max="35" width="9.140625" customWidth="1"/>
    <col min="36" max="36" width="14.7109375" bestFit="1" customWidth="1"/>
    <col min="37" max="37" width="12.42578125" customWidth="1"/>
    <col min="41" max="41" width="16.140625" customWidth="1"/>
  </cols>
  <sheetData>
    <row r="1" spans="3:41" ht="15.75" x14ac:dyDescent="0.25">
      <c r="C1" s="1" t="s">
        <v>438</v>
      </c>
    </row>
    <row r="2" spans="3:41" ht="15.75" x14ac:dyDescent="0.25">
      <c r="C2" s="3" t="s">
        <v>491</v>
      </c>
      <c r="F2" s="3" t="str">
        <f>'table 1 &amp; 2'!C2</f>
        <v>2025 Tax Year</v>
      </c>
    </row>
    <row r="3" spans="3:41" ht="15.75" x14ac:dyDescent="0.25">
      <c r="C3" s="3"/>
      <c r="F3" s="3"/>
    </row>
    <row r="4" spans="3:41" ht="16.5" x14ac:dyDescent="0.25">
      <c r="C4" s="76" t="s">
        <v>328</v>
      </c>
    </row>
    <row r="5" spans="3:41" ht="16.5" x14ac:dyDescent="0.25">
      <c r="C5" s="76" t="s">
        <v>509</v>
      </c>
      <c r="D5" s="7"/>
      <c r="E5" s="6"/>
      <c r="F5" s="76" t="str">
        <f>F2</f>
        <v>2025 Tax Year</v>
      </c>
      <c r="G5" s="6"/>
      <c r="H5" s="6"/>
      <c r="I5" s="6"/>
      <c r="J5" s="6"/>
      <c r="L5" s="1"/>
      <c r="AB5" s="651" t="s">
        <v>559</v>
      </c>
      <c r="AC5" s="651"/>
      <c r="AD5" s="651"/>
      <c r="AE5" s="651"/>
      <c r="AF5" s="651"/>
      <c r="AG5" s="388"/>
      <c r="AH5" s="542"/>
      <c r="AI5" s="542"/>
    </row>
    <row r="6" spans="3:41" ht="15" x14ac:dyDescent="0.25">
      <c r="C6" s="73"/>
      <c r="D6" s="7"/>
      <c r="E6" s="6"/>
      <c r="F6" s="6"/>
      <c r="G6" s="6"/>
      <c r="H6" s="6"/>
      <c r="I6" s="6"/>
      <c r="J6" s="6"/>
      <c r="AB6" s="388" t="s">
        <v>558</v>
      </c>
      <c r="AC6" s="542"/>
      <c r="AD6" s="542"/>
      <c r="AE6" s="542"/>
      <c r="AF6" s="542"/>
      <c r="AG6" s="542"/>
      <c r="AH6" s="542"/>
      <c r="AI6" s="542"/>
    </row>
    <row r="7" spans="3:41" x14ac:dyDescent="0.2">
      <c r="C7" s="6"/>
      <c r="D7" s="6"/>
      <c r="E7" s="22" t="s">
        <v>9</v>
      </c>
      <c r="F7" s="21" t="s">
        <v>28</v>
      </c>
      <c r="G7" s="21"/>
      <c r="H7" s="81" t="s">
        <v>335</v>
      </c>
      <c r="I7" s="6"/>
      <c r="J7" s="6"/>
      <c r="AB7" s="388" t="s">
        <v>545</v>
      </c>
      <c r="AC7" s="388"/>
      <c r="AD7" s="388"/>
      <c r="AE7" s="388" t="s">
        <v>546</v>
      </c>
      <c r="AF7" s="542"/>
      <c r="AG7" s="542"/>
      <c r="AH7" s="542"/>
      <c r="AI7" s="542"/>
      <c r="AJ7" s="322"/>
    </row>
    <row r="8" spans="3:41" ht="13.5" thickBot="1" x14ac:dyDescent="0.25">
      <c r="C8" s="23" t="s">
        <v>75</v>
      </c>
      <c r="D8" s="67" t="s">
        <v>338</v>
      </c>
      <c r="E8" s="25" t="s">
        <v>333</v>
      </c>
      <c r="F8" s="24" t="s">
        <v>333</v>
      </c>
      <c r="G8" s="24" t="s">
        <v>337</v>
      </c>
      <c r="H8" s="489" t="s">
        <v>543</v>
      </c>
      <c r="I8" s="24" t="s">
        <v>10</v>
      </c>
      <c r="J8" s="67" t="s">
        <v>29</v>
      </c>
      <c r="AB8" s="6"/>
      <c r="AC8" s="6"/>
      <c r="AF8" s="86"/>
    </row>
    <row r="9" spans="3:41" ht="13.5" thickBot="1" x14ac:dyDescent="0.25">
      <c r="C9" t="s">
        <v>303</v>
      </c>
      <c r="D9" s="48">
        <f>G9+J9</f>
        <v>738942144</v>
      </c>
      <c r="E9" s="85">
        <v>547271058</v>
      </c>
      <c r="F9" s="86">
        <v>191671086</v>
      </c>
      <c r="G9" s="86">
        <f>SUM(E9:F9)</f>
        <v>738942144</v>
      </c>
      <c r="H9" s="87"/>
      <c r="I9" s="78"/>
      <c r="J9" s="78">
        <f>SUM(H9:I9)</f>
        <v>0</v>
      </c>
      <c r="N9" s="173"/>
      <c r="AB9" s="23" t="s">
        <v>75</v>
      </c>
      <c r="AC9" s="67" t="s">
        <v>338</v>
      </c>
      <c r="AE9" s="23" t="s">
        <v>75</v>
      </c>
      <c r="AF9" s="67" t="s">
        <v>338</v>
      </c>
      <c r="AH9" s="591" t="s">
        <v>588</v>
      </c>
      <c r="AI9" s="569"/>
      <c r="AJ9" s="569"/>
      <c r="AK9" s="569"/>
      <c r="AL9" s="585" t="s">
        <v>601</v>
      </c>
      <c r="AM9" s="569"/>
      <c r="AN9" s="569"/>
      <c r="AO9" s="570"/>
    </row>
    <row r="10" spans="3:41" x14ac:dyDescent="0.2">
      <c r="C10" s="52" t="s">
        <v>76</v>
      </c>
      <c r="D10" s="53">
        <f t="shared" ref="D10:D61" si="0">G10+J10</f>
        <v>18425840939</v>
      </c>
      <c r="E10" s="88">
        <v>14198170909</v>
      </c>
      <c r="F10" s="89">
        <v>4227670030</v>
      </c>
      <c r="G10" s="89">
        <f t="shared" ref="G10:G62" si="1">SUM(E10:F10)</f>
        <v>18425840939</v>
      </c>
      <c r="H10" s="90"/>
      <c r="I10" s="80"/>
      <c r="J10" s="80">
        <f t="shared" ref="J10:J62" si="2">SUM(H10:I10)</f>
        <v>0</v>
      </c>
      <c r="N10" s="173"/>
      <c r="O10" s="250"/>
      <c r="S10" t="str">
        <f>IF(AF10&gt;1000000,AE10,"")</f>
        <v>Albuquerque</v>
      </c>
      <c r="T10" s="173">
        <f>IF(AF10&gt;1000000,AF10/1000000,"")</f>
        <v>18425.840939000002</v>
      </c>
      <c r="AB10" t="s">
        <v>303</v>
      </c>
      <c r="AC10" s="493">
        <v>738942144</v>
      </c>
      <c r="AE10" t="s">
        <v>76</v>
      </c>
      <c r="AF10" s="48">
        <v>18425840939</v>
      </c>
      <c r="AG10" s="48"/>
      <c r="AH10" s="612" t="s">
        <v>606</v>
      </c>
      <c r="AI10" s="560"/>
      <c r="AJ10" s="613">
        <f>MAX(AF10:AF115)</f>
        <v>18425840939</v>
      </c>
      <c r="AK10" s="560" t="str">
        <f>_xlfn.XLOOKUP(AJ10,AF10:AF115,AE10:AE115)</f>
        <v>Albuquerque</v>
      </c>
      <c r="AL10" s="580" t="s">
        <v>600</v>
      </c>
      <c r="AM10" s="580"/>
      <c r="AN10" s="580"/>
      <c r="AO10" s="586">
        <f>ROUNDDOWN(AJ10/1000000000,1)</f>
        <v>18.399999999999999</v>
      </c>
    </row>
    <row r="11" spans="3:41" x14ac:dyDescent="0.2">
      <c r="C11" t="s">
        <v>206</v>
      </c>
      <c r="D11" s="48">
        <f t="shared" si="0"/>
        <v>352861089</v>
      </c>
      <c r="E11" s="85">
        <v>296939776</v>
      </c>
      <c r="F11" s="86">
        <v>55921313</v>
      </c>
      <c r="G11" s="86">
        <f t="shared" si="1"/>
        <v>352861089</v>
      </c>
      <c r="H11" s="87"/>
      <c r="I11" s="78"/>
      <c r="J11" s="78">
        <f t="shared" si="2"/>
        <v>0</v>
      </c>
      <c r="L11" s="194"/>
      <c r="N11" s="312"/>
      <c r="O11" s="250"/>
      <c r="Q11" s="173"/>
      <c r="S11" t="str">
        <f t="shared" ref="S11:S14" si="3">IF(AF11&gt;1000000,AE11,"")</f>
        <v>Santa Fe</v>
      </c>
      <c r="T11" s="173">
        <f t="shared" ref="T11:T14" si="4">IF(AF11&gt;1000000,AF11/1000000,"")</f>
        <v>6004.4486980000001</v>
      </c>
      <c r="AB11" s="52" t="s">
        <v>76</v>
      </c>
      <c r="AC11" s="53">
        <v>18425840939</v>
      </c>
      <c r="AE11" t="s">
        <v>56</v>
      </c>
      <c r="AF11" s="86">
        <v>6004448698</v>
      </c>
      <c r="AH11" s="577" t="s">
        <v>607</v>
      </c>
      <c r="AI11" s="572"/>
      <c r="AJ11" s="614">
        <f>MIN(AF10:AF115)</f>
        <v>799140</v>
      </c>
      <c r="AK11" s="572" t="str">
        <f>_xlfn.XLOOKUP(AJ11,AF10:AF115,AE10:AE115)</f>
        <v>Grady</v>
      </c>
      <c r="AL11" s="587" t="s">
        <v>586</v>
      </c>
      <c r="AM11" s="587"/>
      <c r="AN11" s="587"/>
      <c r="AO11" s="588">
        <f>ROUNDDOWN(AJ11/1000,1)</f>
        <v>799.1</v>
      </c>
    </row>
    <row r="12" spans="3:41" x14ac:dyDescent="0.2">
      <c r="C12" s="52" t="s">
        <v>441</v>
      </c>
      <c r="D12" s="53">
        <f t="shared" si="0"/>
        <v>94701757</v>
      </c>
      <c r="E12" s="88">
        <v>67390978</v>
      </c>
      <c r="F12" s="89">
        <v>27310779</v>
      </c>
      <c r="G12" s="89">
        <f t="shared" si="1"/>
        <v>94701757</v>
      </c>
      <c r="H12" s="88"/>
      <c r="I12" s="89"/>
      <c r="J12" s="89">
        <f t="shared" si="2"/>
        <v>0</v>
      </c>
      <c r="L12" s="194"/>
      <c r="N12" s="312"/>
      <c r="O12" s="250"/>
      <c r="Q12" s="173"/>
      <c r="S12" t="str">
        <f t="shared" si="3"/>
        <v>Rio Rancho</v>
      </c>
      <c r="T12" s="173">
        <f t="shared" si="4"/>
        <v>3793.3001089999998</v>
      </c>
      <c r="AB12" t="s">
        <v>206</v>
      </c>
      <c r="AC12" s="48">
        <v>352861089</v>
      </c>
      <c r="AE12" t="s">
        <v>95</v>
      </c>
      <c r="AF12" s="48">
        <v>3793300109</v>
      </c>
    </row>
    <row r="13" spans="3:41" x14ac:dyDescent="0.2">
      <c r="C13" t="s">
        <v>310</v>
      </c>
      <c r="D13" s="48">
        <f t="shared" si="0"/>
        <v>586147700.69000006</v>
      </c>
      <c r="E13" s="85">
        <v>219818519</v>
      </c>
      <c r="F13" s="86">
        <v>366328970</v>
      </c>
      <c r="G13" s="86">
        <f t="shared" si="1"/>
        <v>586147489</v>
      </c>
      <c r="H13" s="85">
        <v>176.47</v>
      </c>
      <c r="I13" s="86">
        <v>35.22</v>
      </c>
      <c r="J13" s="86">
        <f>SUM(H13:I13)</f>
        <v>211.69</v>
      </c>
      <c r="L13" s="194"/>
      <c r="N13" s="312"/>
      <c r="O13" s="250"/>
      <c r="Q13" s="173"/>
      <c r="S13" t="str">
        <f t="shared" si="3"/>
        <v>Las Cruces</v>
      </c>
      <c r="T13" s="173">
        <f t="shared" si="4"/>
        <v>3426.6636370000001</v>
      </c>
      <c r="AB13" s="52" t="s">
        <v>441</v>
      </c>
      <c r="AC13" s="53">
        <v>94701757</v>
      </c>
      <c r="AE13" t="s">
        <v>279</v>
      </c>
      <c r="AF13" s="86">
        <v>3426663637</v>
      </c>
    </row>
    <row r="14" spans="3:41" x14ac:dyDescent="0.2">
      <c r="C14" s="52" t="s">
        <v>270</v>
      </c>
      <c r="D14" s="53">
        <f t="shared" si="0"/>
        <v>158949113.63999999</v>
      </c>
      <c r="E14" s="88">
        <v>112299603</v>
      </c>
      <c r="F14" s="89">
        <v>45840859</v>
      </c>
      <c r="G14" s="89">
        <f t="shared" si="1"/>
        <v>158140462</v>
      </c>
      <c r="H14" s="90">
        <v>677705.89</v>
      </c>
      <c r="I14" s="80">
        <v>130945.75</v>
      </c>
      <c r="J14" s="80">
        <f t="shared" si="2"/>
        <v>808651.64</v>
      </c>
      <c r="L14" s="194"/>
      <c r="N14" s="312"/>
      <c r="O14" s="250"/>
      <c r="Q14" s="173"/>
      <c r="S14" t="str">
        <f t="shared" si="3"/>
        <v>Farmington</v>
      </c>
      <c r="T14" s="173">
        <f t="shared" si="4"/>
        <v>1471.7772755199999</v>
      </c>
      <c r="AB14" t="s">
        <v>310</v>
      </c>
      <c r="AC14" s="48">
        <v>586147700.69000006</v>
      </c>
      <c r="AE14" t="s">
        <v>274</v>
      </c>
      <c r="AF14" s="48">
        <v>1471777275.52</v>
      </c>
    </row>
    <row r="15" spans="3:41" x14ac:dyDescent="0.2">
      <c r="C15" t="s">
        <v>109</v>
      </c>
      <c r="D15" s="48">
        <f t="shared" si="0"/>
        <v>23302351</v>
      </c>
      <c r="E15" s="85">
        <v>18262636</v>
      </c>
      <c r="F15" s="86">
        <v>5039715</v>
      </c>
      <c r="G15" s="86">
        <f t="shared" si="1"/>
        <v>23302351</v>
      </c>
      <c r="H15" s="87"/>
      <c r="I15" s="78"/>
      <c r="J15" s="78">
        <f t="shared" si="2"/>
        <v>0</v>
      </c>
      <c r="L15" s="194"/>
      <c r="N15" s="312"/>
      <c r="O15" s="250"/>
      <c r="Q15" s="173"/>
      <c r="T15" s="173"/>
      <c r="AB15" s="52" t="s">
        <v>270</v>
      </c>
      <c r="AC15" s="53">
        <v>158949113.63999999</v>
      </c>
      <c r="AE15" t="s">
        <v>45</v>
      </c>
      <c r="AF15" s="48">
        <v>1105538877</v>
      </c>
    </row>
    <row r="16" spans="3:41" x14ac:dyDescent="0.2">
      <c r="C16" s="52" t="s">
        <v>281</v>
      </c>
      <c r="D16" s="53">
        <f t="shared" si="0"/>
        <v>230803709</v>
      </c>
      <c r="E16" s="88">
        <v>119580914</v>
      </c>
      <c r="F16" s="89">
        <v>111222795</v>
      </c>
      <c r="G16" s="89">
        <f t="shared" si="1"/>
        <v>230803709</v>
      </c>
      <c r="H16" s="90"/>
      <c r="I16" s="80"/>
      <c r="J16" s="80">
        <f t="shared" si="2"/>
        <v>0</v>
      </c>
      <c r="L16" s="194"/>
      <c r="N16" s="312"/>
      <c r="O16" s="250"/>
      <c r="Q16" s="173"/>
      <c r="AB16" t="s">
        <v>109</v>
      </c>
      <c r="AC16" s="48">
        <v>23302351</v>
      </c>
      <c r="AE16" t="s">
        <v>301</v>
      </c>
      <c r="AF16" s="86">
        <v>1007595337.66</v>
      </c>
    </row>
    <row r="17" spans="3:32" x14ac:dyDescent="0.2">
      <c r="C17" t="s">
        <v>31</v>
      </c>
      <c r="D17" s="48">
        <f t="shared" si="0"/>
        <v>290911936</v>
      </c>
      <c r="E17" s="85">
        <v>192524284</v>
      </c>
      <c r="F17" s="86">
        <v>98387652</v>
      </c>
      <c r="G17" s="86">
        <f t="shared" si="1"/>
        <v>290911936</v>
      </c>
      <c r="H17" s="85"/>
      <c r="I17" s="86"/>
      <c r="J17" s="86">
        <f t="shared" si="2"/>
        <v>0</v>
      </c>
      <c r="L17" s="194"/>
      <c r="N17" s="312"/>
      <c r="Q17" s="173"/>
      <c r="AB17" s="52" t="s">
        <v>281</v>
      </c>
      <c r="AC17" s="53">
        <v>230803709</v>
      </c>
      <c r="AE17" t="s">
        <v>191</v>
      </c>
      <c r="AF17" s="86">
        <v>971594731.41999996</v>
      </c>
    </row>
    <row r="18" spans="3:32" x14ac:dyDescent="0.2">
      <c r="C18" s="52" t="s">
        <v>277</v>
      </c>
      <c r="D18" s="53">
        <f t="shared" si="0"/>
        <v>169009245.91999999</v>
      </c>
      <c r="E18" s="88">
        <v>97841608</v>
      </c>
      <c r="F18" s="89">
        <v>70854198</v>
      </c>
      <c r="G18" s="89">
        <f t="shared" si="1"/>
        <v>168695806</v>
      </c>
      <c r="H18" s="90">
        <v>264250</v>
      </c>
      <c r="I18" s="80">
        <v>49189.919999999998</v>
      </c>
      <c r="J18" s="80">
        <f t="shared" si="2"/>
        <v>313439.92</v>
      </c>
      <c r="L18" s="194"/>
      <c r="N18" s="312"/>
      <c r="Q18" s="173"/>
      <c r="AB18" t="s">
        <v>31</v>
      </c>
      <c r="AC18" s="48">
        <v>290911936</v>
      </c>
      <c r="AE18" t="s">
        <v>138</v>
      </c>
      <c r="AF18" s="86">
        <v>959922878</v>
      </c>
    </row>
    <row r="19" spans="3:32" x14ac:dyDescent="0.2">
      <c r="C19" t="s">
        <v>278</v>
      </c>
      <c r="D19" s="48">
        <f t="shared" si="0"/>
        <v>128846471</v>
      </c>
      <c r="E19" s="85">
        <v>108553704</v>
      </c>
      <c r="F19" s="86">
        <v>20292767</v>
      </c>
      <c r="G19" s="86">
        <f t="shared" si="1"/>
        <v>128846471</v>
      </c>
      <c r="H19" s="87"/>
      <c r="I19" s="78"/>
      <c r="J19" s="78">
        <f t="shared" si="2"/>
        <v>0</v>
      </c>
      <c r="L19" s="194"/>
      <c r="N19" s="312"/>
      <c r="Q19" s="173"/>
      <c r="AB19" s="52" t="s">
        <v>277</v>
      </c>
      <c r="AC19" s="53">
        <v>169009245.91999999</v>
      </c>
      <c r="AE19" t="s">
        <v>244</v>
      </c>
      <c r="AF19" s="48">
        <v>839199567</v>
      </c>
    </row>
    <row r="20" spans="3:32" x14ac:dyDescent="0.2">
      <c r="C20" s="52" t="s">
        <v>241</v>
      </c>
      <c r="D20" s="53">
        <f t="shared" si="0"/>
        <v>34840083</v>
      </c>
      <c r="E20" s="88">
        <v>27115704</v>
      </c>
      <c r="F20" s="89">
        <v>7724379</v>
      </c>
      <c r="G20" s="89">
        <f t="shared" si="1"/>
        <v>34840083</v>
      </c>
      <c r="H20" s="88"/>
      <c r="I20" s="89"/>
      <c r="J20" s="89">
        <f t="shared" si="2"/>
        <v>0</v>
      </c>
      <c r="L20" s="194"/>
      <c r="N20" s="312"/>
      <c r="Q20" s="173"/>
      <c r="AB20" t="s">
        <v>278</v>
      </c>
      <c r="AC20" s="48">
        <v>128846471</v>
      </c>
      <c r="AE20" t="s">
        <v>275</v>
      </c>
      <c r="AF20" s="86">
        <v>743294398</v>
      </c>
    </row>
    <row r="21" spans="3:32" x14ac:dyDescent="0.2">
      <c r="C21" t="s">
        <v>301</v>
      </c>
      <c r="D21" s="48">
        <f t="shared" si="0"/>
        <v>1007595337.66</v>
      </c>
      <c r="E21" s="85">
        <v>590606345</v>
      </c>
      <c r="F21" s="86">
        <v>382070344</v>
      </c>
      <c r="G21" s="86">
        <f t="shared" si="1"/>
        <v>972676689</v>
      </c>
      <c r="H21" s="87">
        <v>27193419.16</v>
      </c>
      <c r="I21" s="78">
        <v>7725229.5</v>
      </c>
      <c r="J21" s="78">
        <f t="shared" si="2"/>
        <v>34918648.659999996</v>
      </c>
      <c r="L21" s="194"/>
      <c r="N21" s="312"/>
      <c r="Q21" s="173"/>
      <c r="AB21" s="52" t="s">
        <v>241</v>
      </c>
      <c r="AC21" s="53">
        <v>34840083</v>
      </c>
      <c r="AE21" t="s">
        <v>303</v>
      </c>
      <c r="AF21" s="86">
        <v>738942144</v>
      </c>
    </row>
    <row r="22" spans="3:32" x14ac:dyDescent="0.2">
      <c r="C22" s="52" t="s">
        <v>233</v>
      </c>
      <c r="D22" s="53">
        <f t="shared" si="0"/>
        <v>21545540</v>
      </c>
      <c r="E22" s="88">
        <v>11935931</v>
      </c>
      <c r="F22" s="89">
        <v>9609609</v>
      </c>
      <c r="G22" s="89">
        <f t="shared" si="1"/>
        <v>21545540</v>
      </c>
      <c r="H22" s="90"/>
      <c r="I22" s="80"/>
      <c r="J22" s="80">
        <f t="shared" si="2"/>
        <v>0</v>
      </c>
      <c r="L22" s="194"/>
      <c r="N22" s="312"/>
      <c r="Q22" s="173"/>
      <c r="AB22" t="s">
        <v>301</v>
      </c>
      <c r="AC22" s="48">
        <v>1007595337.66</v>
      </c>
      <c r="AE22" t="s">
        <v>226</v>
      </c>
      <c r="AF22" s="48">
        <v>708783996</v>
      </c>
    </row>
    <row r="23" spans="3:32" x14ac:dyDescent="0.2">
      <c r="C23" t="s">
        <v>193</v>
      </c>
      <c r="D23" s="48">
        <f t="shared" si="0"/>
        <v>1377002</v>
      </c>
      <c r="E23" s="85">
        <v>451459</v>
      </c>
      <c r="F23" s="86">
        <v>925543</v>
      </c>
      <c r="G23" s="86">
        <f t="shared" si="1"/>
        <v>1377002</v>
      </c>
      <c r="H23" s="87"/>
      <c r="I23" s="78"/>
      <c r="J23" s="78">
        <f t="shared" si="2"/>
        <v>0</v>
      </c>
      <c r="L23" s="194"/>
      <c r="N23" s="312"/>
      <c r="Q23" s="173"/>
      <c r="AB23" s="52" t="s">
        <v>233</v>
      </c>
      <c r="AC23" s="53">
        <v>21545540</v>
      </c>
      <c r="AE23" t="s">
        <v>90</v>
      </c>
      <c r="AF23" s="48">
        <v>612825991</v>
      </c>
    </row>
    <row r="24" spans="3:32" x14ac:dyDescent="0.2">
      <c r="C24" s="52" t="s">
        <v>155</v>
      </c>
      <c r="D24" s="53">
        <f t="shared" si="0"/>
        <v>39308866</v>
      </c>
      <c r="E24" s="88">
        <v>19927777</v>
      </c>
      <c r="F24" s="89">
        <v>19381089</v>
      </c>
      <c r="G24" s="89">
        <f t="shared" si="1"/>
        <v>39308866</v>
      </c>
      <c r="H24" s="90"/>
      <c r="I24" s="80"/>
      <c r="J24" s="80">
        <f t="shared" si="2"/>
        <v>0</v>
      </c>
      <c r="L24" s="194"/>
      <c r="N24" s="312"/>
      <c r="Q24" s="173"/>
      <c r="AB24" t="s">
        <v>193</v>
      </c>
      <c r="AC24" s="48">
        <v>1377002</v>
      </c>
      <c r="AE24" t="s">
        <v>310</v>
      </c>
      <c r="AF24" s="86">
        <v>586147700.69000006</v>
      </c>
    </row>
    <row r="25" spans="3:32" x14ac:dyDescent="0.2">
      <c r="C25" t="s">
        <v>201</v>
      </c>
      <c r="D25" s="48">
        <f t="shared" si="0"/>
        <v>16653183</v>
      </c>
      <c r="E25" s="85">
        <v>11389677</v>
      </c>
      <c r="F25" s="86">
        <v>5263506</v>
      </c>
      <c r="G25" s="86">
        <f t="shared" si="1"/>
        <v>16653183</v>
      </c>
      <c r="H25" s="87"/>
      <c r="I25" s="78"/>
      <c r="J25" s="78">
        <f t="shared" si="2"/>
        <v>0</v>
      </c>
      <c r="L25" s="194"/>
      <c r="N25" s="312"/>
      <c r="Q25" s="173"/>
      <c r="AB25" s="52" t="s">
        <v>155</v>
      </c>
      <c r="AC25" s="53">
        <v>39308866</v>
      </c>
      <c r="AE25" t="s">
        <v>287</v>
      </c>
      <c r="AF25" s="48">
        <v>455725380</v>
      </c>
    </row>
    <row r="26" spans="3:32" x14ac:dyDescent="0.2">
      <c r="C26" s="52" t="s">
        <v>251</v>
      </c>
      <c r="D26" s="53">
        <f t="shared" si="0"/>
        <v>44223428</v>
      </c>
      <c r="E26" s="88">
        <v>21577604</v>
      </c>
      <c r="F26" s="89">
        <v>22645824</v>
      </c>
      <c r="G26" s="89">
        <f t="shared" si="1"/>
        <v>44223428</v>
      </c>
      <c r="H26" s="90"/>
      <c r="I26" s="80"/>
      <c r="J26" s="80">
        <f t="shared" si="2"/>
        <v>0</v>
      </c>
      <c r="L26" s="194"/>
      <c r="N26" s="312"/>
      <c r="Q26" s="173"/>
      <c r="AB26" t="s">
        <v>201</v>
      </c>
      <c r="AC26" s="48">
        <v>16653183</v>
      </c>
      <c r="AE26" t="s">
        <v>59</v>
      </c>
      <c r="AF26" s="48">
        <v>410705547</v>
      </c>
    </row>
    <row r="27" spans="3:32" x14ac:dyDescent="0.2">
      <c r="C27" t="s">
        <v>311</v>
      </c>
      <c r="D27" s="48">
        <f t="shared" si="0"/>
        <v>81095250</v>
      </c>
      <c r="E27" s="85">
        <v>62005857</v>
      </c>
      <c r="F27" s="86">
        <v>19089393</v>
      </c>
      <c r="G27" s="86">
        <f t="shared" si="1"/>
        <v>81095250</v>
      </c>
      <c r="H27" s="87"/>
      <c r="I27" s="78"/>
      <c r="J27" s="78">
        <f t="shared" si="2"/>
        <v>0</v>
      </c>
      <c r="L27" s="194"/>
      <c r="N27" s="312"/>
      <c r="Q27" s="173"/>
      <c r="AB27" s="52" t="s">
        <v>251</v>
      </c>
      <c r="AC27" s="53">
        <v>44223428</v>
      </c>
      <c r="AE27" t="s">
        <v>276</v>
      </c>
      <c r="AF27" s="86">
        <v>396610306</v>
      </c>
    </row>
    <row r="28" spans="3:32" x14ac:dyDescent="0.2">
      <c r="C28" s="52" t="s">
        <v>244</v>
      </c>
      <c r="D28" s="53">
        <f t="shared" si="0"/>
        <v>839199567</v>
      </c>
      <c r="E28" s="88">
        <v>616750632</v>
      </c>
      <c r="F28" s="89">
        <v>222448935</v>
      </c>
      <c r="G28" s="89">
        <f t="shared" si="1"/>
        <v>839199567</v>
      </c>
      <c r="H28" s="90"/>
      <c r="I28" s="80"/>
      <c r="J28" s="80">
        <f t="shared" si="2"/>
        <v>0</v>
      </c>
      <c r="L28" s="194"/>
      <c r="N28" s="312"/>
      <c r="Q28" s="173"/>
      <c r="AB28" t="s">
        <v>311</v>
      </c>
      <c r="AC28" s="48">
        <v>81095250</v>
      </c>
      <c r="AE28" t="s">
        <v>82</v>
      </c>
      <c r="AF28" s="86">
        <v>366225251</v>
      </c>
    </row>
    <row r="29" spans="3:32" x14ac:dyDescent="0.2">
      <c r="C29" t="s">
        <v>269</v>
      </c>
      <c r="D29" s="48">
        <f t="shared" si="0"/>
        <v>20451454</v>
      </c>
      <c r="E29" s="85">
        <v>12369380</v>
      </c>
      <c r="F29" s="86">
        <v>8082074</v>
      </c>
      <c r="G29" s="86">
        <f t="shared" si="1"/>
        <v>20451454</v>
      </c>
      <c r="H29" s="87"/>
      <c r="I29" s="78"/>
      <c r="J29" s="78">
        <f t="shared" si="2"/>
        <v>0</v>
      </c>
      <c r="L29" s="194"/>
      <c r="N29" s="312"/>
      <c r="Q29" s="173"/>
      <c r="AB29" s="52" t="s">
        <v>244</v>
      </c>
      <c r="AC29" s="53">
        <v>839199567</v>
      </c>
      <c r="AE29" t="s">
        <v>206</v>
      </c>
      <c r="AF29" s="86">
        <v>352861089</v>
      </c>
    </row>
    <row r="30" spans="3:32" x14ac:dyDescent="0.2">
      <c r="C30" s="52" t="s">
        <v>237</v>
      </c>
      <c r="D30" s="53">
        <f t="shared" si="0"/>
        <v>7403896</v>
      </c>
      <c r="E30" s="88">
        <v>2150484</v>
      </c>
      <c r="F30" s="89">
        <v>5253412</v>
      </c>
      <c r="G30" s="89">
        <f t="shared" si="1"/>
        <v>7403896</v>
      </c>
      <c r="H30" s="90"/>
      <c r="I30" s="80"/>
      <c r="J30" s="80">
        <f t="shared" si="2"/>
        <v>0</v>
      </c>
      <c r="L30" s="194"/>
      <c r="N30" s="312"/>
      <c r="Q30" s="173"/>
      <c r="AB30" t="s">
        <v>269</v>
      </c>
      <c r="AC30" s="48">
        <v>20451454</v>
      </c>
      <c r="AE30" t="s">
        <v>265</v>
      </c>
      <c r="AF30" s="86">
        <v>310967320</v>
      </c>
    </row>
    <row r="31" spans="3:32" x14ac:dyDescent="0.2">
      <c r="C31" t="s">
        <v>90</v>
      </c>
      <c r="D31" s="48">
        <f t="shared" si="0"/>
        <v>612825991</v>
      </c>
      <c r="E31" s="85">
        <v>541087575</v>
      </c>
      <c r="F31" s="86">
        <v>71738416</v>
      </c>
      <c r="G31" s="86">
        <f t="shared" si="1"/>
        <v>612825991</v>
      </c>
      <c r="H31" s="87"/>
      <c r="I31" s="78"/>
      <c r="J31" s="78">
        <f t="shared" si="2"/>
        <v>0</v>
      </c>
      <c r="L31" s="194"/>
      <c r="N31" s="312"/>
      <c r="Q31" s="173"/>
      <c r="AB31" s="52" t="s">
        <v>237</v>
      </c>
      <c r="AC31" s="53">
        <v>7403896</v>
      </c>
      <c r="AE31" t="s">
        <v>31</v>
      </c>
      <c r="AF31" s="86">
        <v>290911936</v>
      </c>
    </row>
    <row r="32" spans="3:32" x14ac:dyDescent="0.2">
      <c r="C32" s="52" t="s">
        <v>234</v>
      </c>
      <c r="D32" s="53">
        <f t="shared" si="0"/>
        <v>12791739</v>
      </c>
      <c r="E32" s="88">
        <v>4824661</v>
      </c>
      <c r="F32" s="89">
        <v>7967078</v>
      </c>
      <c r="G32" s="89">
        <f t="shared" si="1"/>
        <v>12791739</v>
      </c>
      <c r="H32" s="90"/>
      <c r="I32" s="80"/>
      <c r="J32" s="80">
        <f t="shared" si="2"/>
        <v>0</v>
      </c>
      <c r="L32" s="194"/>
      <c r="N32" s="312"/>
      <c r="Q32" s="173"/>
      <c r="AB32" t="s">
        <v>90</v>
      </c>
      <c r="AC32" s="48">
        <v>612825991</v>
      </c>
      <c r="AE32" t="s">
        <v>297</v>
      </c>
      <c r="AF32" s="86">
        <v>262409983</v>
      </c>
    </row>
    <row r="33" spans="3:32" x14ac:dyDescent="0.2">
      <c r="C33" t="s">
        <v>265</v>
      </c>
      <c r="D33" s="48">
        <f t="shared" si="0"/>
        <v>310967320</v>
      </c>
      <c r="E33" s="85">
        <v>160742780</v>
      </c>
      <c r="F33" s="86">
        <v>150224540</v>
      </c>
      <c r="G33" s="86">
        <f t="shared" si="1"/>
        <v>310967320</v>
      </c>
      <c r="H33" s="87"/>
      <c r="I33" s="78"/>
      <c r="J33" s="78">
        <f t="shared" si="2"/>
        <v>0</v>
      </c>
      <c r="L33" s="194"/>
      <c r="N33" s="312"/>
      <c r="Q33" s="173"/>
      <c r="AB33" s="52" t="s">
        <v>234</v>
      </c>
      <c r="AC33" s="53">
        <v>12791739</v>
      </c>
      <c r="AE33" t="s">
        <v>97</v>
      </c>
      <c r="AF33" s="48">
        <v>244254768</v>
      </c>
    </row>
    <row r="34" spans="3:32" x14ac:dyDescent="0.2">
      <c r="C34" s="52" t="s">
        <v>253</v>
      </c>
      <c r="D34" s="53">
        <f t="shared" si="0"/>
        <v>2863490</v>
      </c>
      <c r="E34" s="88">
        <v>1153619</v>
      </c>
      <c r="F34" s="89">
        <v>1709871</v>
      </c>
      <c r="G34" s="89">
        <f t="shared" si="1"/>
        <v>2863490</v>
      </c>
      <c r="H34" s="90"/>
      <c r="I34" s="80"/>
      <c r="J34" s="80">
        <f t="shared" si="2"/>
        <v>0</v>
      </c>
      <c r="L34" s="194"/>
      <c r="N34" s="312"/>
      <c r="Q34" s="173"/>
      <c r="AB34" t="s">
        <v>265</v>
      </c>
      <c r="AC34" s="48">
        <v>310967320</v>
      </c>
      <c r="AE34" t="s">
        <v>93</v>
      </c>
      <c r="AF34" s="86">
        <v>231627314</v>
      </c>
    </row>
    <row r="35" spans="3:32" x14ac:dyDescent="0.2">
      <c r="C35" t="s">
        <v>148</v>
      </c>
      <c r="D35" s="48">
        <f t="shared" si="0"/>
        <v>15019327</v>
      </c>
      <c r="E35" s="85">
        <v>10362629</v>
      </c>
      <c r="F35" s="86">
        <v>4656698</v>
      </c>
      <c r="G35" s="86">
        <f t="shared" si="1"/>
        <v>15019327</v>
      </c>
      <c r="H35" s="87"/>
      <c r="I35" s="78"/>
      <c r="J35" s="78">
        <f t="shared" si="2"/>
        <v>0</v>
      </c>
      <c r="L35" s="194"/>
      <c r="N35" s="312"/>
      <c r="Q35" s="173"/>
      <c r="AB35" s="52" t="s">
        <v>253</v>
      </c>
      <c r="AC35" s="53">
        <v>2863490</v>
      </c>
      <c r="AE35" t="s">
        <v>281</v>
      </c>
      <c r="AF35" s="86">
        <v>230803709</v>
      </c>
    </row>
    <row r="36" spans="3:32" x14ac:dyDescent="0.2">
      <c r="C36" s="52" t="s">
        <v>199</v>
      </c>
      <c r="D36" s="53">
        <f t="shared" si="0"/>
        <v>1395069</v>
      </c>
      <c r="E36" s="88">
        <v>891623</v>
      </c>
      <c r="F36" s="89">
        <v>503446</v>
      </c>
      <c r="G36" s="89">
        <f t="shared" si="1"/>
        <v>1395069</v>
      </c>
      <c r="H36" s="90"/>
      <c r="I36" s="80"/>
      <c r="J36" s="80">
        <f t="shared" si="2"/>
        <v>0</v>
      </c>
      <c r="L36" s="194"/>
      <c r="N36" s="312"/>
      <c r="Q36" s="173"/>
      <c r="AB36" t="s">
        <v>148</v>
      </c>
      <c r="AC36" s="48">
        <v>15019327</v>
      </c>
      <c r="AE36" t="s">
        <v>100</v>
      </c>
      <c r="AF36" s="48">
        <v>223621247</v>
      </c>
    </row>
    <row r="37" spans="3:32" x14ac:dyDescent="0.2">
      <c r="C37" t="s">
        <v>204</v>
      </c>
      <c r="D37" s="48">
        <f t="shared" si="0"/>
        <v>22784007</v>
      </c>
      <c r="E37" s="85">
        <v>15826382</v>
      </c>
      <c r="F37" s="86">
        <v>6957625</v>
      </c>
      <c r="G37" s="86">
        <f t="shared" si="1"/>
        <v>22784007</v>
      </c>
      <c r="H37" s="87"/>
      <c r="I37" s="78"/>
      <c r="J37" s="78">
        <f t="shared" si="2"/>
        <v>0</v>
      </c>
      <c r="L37" s="194"/>
      <c r="N37" s="312"/>
      <c r="Q37" s="173"/>
      <c r="AB37" s="52" t="s">
        <v>199</v>
      </c>
      <c r="AC37" s="53">
        <v>1395069</v>
      </c>
      <c r="AE37" t="s">
        <v>176</v>
      </c>
      <c r="AF37" s="86">
        <v>208860450</v>
      </c>
    </row>
    <row r="38" spans="3:32" x14ac:dyDescent="0.2">
      <c r="C38" s="52" t="s">
        <v>100</v>
      </c>
      <c r="D38" s="53">
        <f t="shared" si="0"/>
        <v>223621247</v>
      </c>
      <c r="E38" s="88">
        <v>176524708</v>
      </c>
      <c r="F38" s="89">
        <v>47096539</v>
      </c>
      <c r="G38" s="89">
        <f t="shared" si="1"/>
        <v>223621247</v>
      </c>
      <c r="H38" s="90"/>
      <c r="I38" s="80"/>
      <c r="J38" s="80">
        <f t="shared" si="2"/>
        <v>0</v>
      </c>
      <c r="L38" s="194"/>
      <c r="N38" s="312"/>
      <c r="Q38" s="173"/>
      <c r="AB38" t="s">
        <v>204</v>
      </c>
      <c r="AC38" s="48">
        <v>22784007</v>
      </c>
      <c r="AE38" t="s">
        <v>277</v>
      </c>
      <c r="AF38" s="86">
        <v>169009245.91999999</v>
      </c>
    </row>
    <row r="39" spans="3:32" x14ac:dyDescent="0.2">
      <c r="C39" t="s">
        <v>136</v>
      </c>
      <c r="D39" s="48">
        <f t="shared" si="0"/>
        <v>78605576</v>
      </c>
      <c r="E39" s="85">
        <v>58413178</v>
      </c>
      <c r="F39" s="86">
        <v>20192398</v>
      </c>
      <c r="G39" s="86">
        <f t="shared" si="1"/>
        <v>78605576</v>
      </c>
      <c r="H39" s="87"/>
      <c r="I39" s="78"/>
      <c r="J39" s="78">
        <f t="shared" si="2"/>
        <v>0</v>
      </c>
      <c r="L39" s="194"/>
      <c r="N39" s="312"/>
      <c r="Q39" s="173"/>
      <c r="AB39" s="52" t="s">
        <v>100</v>
      </c>
      <c r="AC39" s="53">
        <v>223621247</v>
      </c>
      <c r="AE39" t="s">
        <v>179</v>
      </c>
      <c r="AF39" s="86">
        <v>162912656</v>
      </c>
    </row>
    <row r="40" spans="3:32" x14ac:dyDescent="0.2">
      <c r="C40" s="52" t="s">
        <v>182</v>
      </c>
      <c r="D40" s="53">
        <f t="shared" si="0"/>
        <v>3172320</v>
      </c>
      <c r="E40" s="88">
        <v>1589049</v>
      </c>
      <c r="F40" s="89">
        <v>1583271</v>
      </c>
      <c r="G40" s="89">
        <f t="shared" si="1"/>
        <v>3172320</v>
      </c>
      <c r="H40" s="90"/>
      <c r="I40" s="80"/>
      <c r="J40" s="80">
        <f t="shared" si="2"/>
        <v>0</v>
      </c>
      <c r="L40" s="194"/>
      <c r="N40" s="312"/>
      <c r="Q40" s="173"/>
      <c r="AB40" t="s">
        <v>136</v>
      </c>
      <c r="AC40" s="48">
        <v>78605576</v>
      </c>
      <c r="AE40" t="s">
        <v>270</v>
      </c>
      <c r="AF40" s="86">
        <v>158949113.63999999</v>
      </c>
    </row>
    <row r="41" spans="3:32" x14ac:dyDescent="0.2">
      <c r="C41" t="s">
        <v>228</v>
      </c>
      <c r="D41" s="48">
        <f t="shared" si="0"/>
        <v>19438674</v>
      </c>
      <c r="E41" s="85">
        <v>572655</v>
      </c>
      <c r="F41" s="86">
        <v>18866019</v>
      </c>
      <c r="G41" s="86">
        <f t="shared" si="1"/>
        <v>19438674</v>
      </c>
      <c r="H41" s="87"/>
      <c r="I41" s="78"/>
      <c r="J41" s="78">
        <f t="shared" si="2"/>
        <v>0</v>
      </c>
      <c r="L41" s="194"/>
      <c r="N41" s="312"/>
      <c r="Q41" s="173"/>
      <c r="AB41" s="52" t="s">
        <v>182</v>
      </c>
      <c r="AC41" s="53">
        <v>3172320</v>
      </c>
      <c r="AE41" t="s">
        <v>58</v>
      </c>
      <c r="AF41" s="86">
        <v>154508008</v>
      </c>
    </row>
    <row r="42" spans="3:32" x14ac:dyDescent="0.2">
      <c r="C42" s="52" t="s">
        <v>93</v>
      </c>
      <c r="D42" s="53">
        <f t="shared" si="0"/>
        <v>231627314</v>
      </c>
      <c r="E42" s="88">
        <v>144620532</v>
      </c>
      <c r="F42" s="89">
        <v>87006782</v>
      </c>
      <c r="G42" s="89">
        <f t="shared" si="1"/>
        <v>231627314</v>
      </c>
      <c r="H42" s="90"/>
      <c r="I42" s="80"/>
      <c r="J42" s="80">
        <f t="shared" si="2"/>
        <v>0</v>
      </c>
      <c r="L42" s="194"/>
      <c r="N42" s="312"/>
      <c r="Q42" s="173"/>
      <c r="AB42" t="s">
        <v>228</v>
      </c>
      <c r="AC42" s="48">
        <v>19438674</v>
      </c>
      <c r="AE42" s="74" t="s">
        <v>181</v>
      </c>
      <c r="AF42" s="48">
        <v>149354847</v>
      </c>
    </row>
    <row r="43" spans="3:32" x14ac:dyDescent="0.2">
      <c r="C43" t="s">
        <v>208</v>
      </c>
      <c r="D43" s="48">
        <f t="shared" si="0"/>
        <v>28266211</v>
      </c>
      <c r="E43" s="85">
        <v>8770055</v>
      </c>
      <c r="F43" s="86">
        <v>19496156</v>
      </c>
      <c r="G43" s="86">
        <f t="shared" si="1"/>
        <v>28266211</v>
      </c>
      <c r="H43" s="85"/>
      <c r="I43" s="86"/>
      <c r="J43" s="86">
        <f t="shared" si="2"/>
        <v>0</v>
      </c>
      <c r="L43" s="194"/>
      <c r="N43" s="312"/>
      <c r="Q43" s="173"/>
      <c r="AB43" s="52" t="s">
        <v>93</v>
      </c>
      <c r="AC43" s="53">
        <v>231627314</v>
      </c>
      <c r="AE43" t="s">
        <v>184</v>
      </c>
      <c r="AF43" s="48">
        <v>137828978</v>
      </c>
    </row>
    <row r="44" spans="3:32" x14ac:dyDescent="0.2">
      <c r="C44" s="52" t="s">
        <v>188</v>
      </c>
      <c r="D44" s="53">
        <f t="shared" si="0"/>
        <v>45708243.829999998</v>
      </c>
      <c r="E44" s="88">
        <v>27898251</v>
      </c>
      <c r="F44" s="89">
        <v>15733539</v>
      </c>
      <c r="G44" s="89">
        <f t="shared" si="1"/>
        <v>43631790</v>
      </c>
      <c r="H44" s="88">
        <v>1734757.34</v>
      </c>
      <c r="I44" s="89">
        <v>341696.49</v>
      </c>
      <c r="J44" s="89">
        <f t="shared" si="2"/>
        <v>2076453.83</v>
      </c>
      <c r="L44" s="194"/>
      <c r="N44" s="312"/>
      <c r="Q44" s="173"/>
      <c r="AB44" t="s">
        <v>208</v>
      </c>
      <c r="AC44" s="48">
        <v>28266211</v>
      </c>
      <c r="AE44" t="s">
        <v>278</v>
      </c>
      <c r="AF44" s="86">
        <v>128846471</v>
      </c>
    </row>
    <row r="45" spans="3:32" x14ac:dyDescent="0.2">
      <c r="C45" t="s">
        <v>274</v>
      </c>
      <c r="D45" s="48">
        <f t="shared" si="0"/>
        <v>1471777275.52</v>
      </c>
      <c r="E45" s="85">
        <v>978828367</v>
      </c>
      <c r="F45" s="86">
        <v>492016979</v>
      </c>
      <c r="G45" s="86">
        <f t="shared" si="1"/>
        <v>1470845346</v>
      </c>
      <c r="H45" s="87">
        <v>691243.77</v>
      </c>
      <c r="I45" s="78">
        <v>240685.75</v>
      </c>
      <c r="J45" s="78">
        <f t="shared" si="2"/>
        <v>931929.52</v>
      </c>
      <c r="L45" s="194"/>
      <c r="N45" s="312"/>
      <c r="Q45" s="173"/>
      <c r="AB45" s="52" t="s">
        <v>188</v>
      </c>
      <c r="AC45" s="53">
        <v>45708243.829999998</v>
      </c>
      <c r="AE45" t="s">
        <v>553</v>
      </c>
      <c r="AF45" s="86">
        <v>123503930</v>
      </c>
    </row>
    <row r="46" spans="3:32" x14ac:dyDescent="0.2">
      <c r="C46" s="52" t="s">
        <v>189</v>
      </c>
      <c r="D46" s="53">
        <f t="shared" si="0"/>
        <v>1231149</v>
      </c>
      <c r="E46" s="88">
        <v>912991</v>
      </c>
      <c r="F46" s="89">
        <v>318158</v>
      </c>
      <c r="G46" s="89">
        <f t="shared" si="1"/>
        <v>1231149</v>
      </c>
      <c r="H46" s="90"/>
      <c r="I46" s="80"/>
      <c r="J46" s="80">
        <f t="shared" si="2"/>
        <v>0</v>
      </c>
      <c r="L46" s="194"/>
      <c r="N46" s="312"/>
      <c r="Q46" s="173"/>
      <c r="AB46" t="s">
        <v>274</v>
      </c>
      <c r="AC46" s="48">
        <v>1471777275.52</v>
      </c>
      <c r="AE46" t="s">
        <v>459</v>
      </c>
      <c r="AF46" s="86">
        <v>110653830</v>
      </c>
    </row>
    <row r="47" spans="3:32" x14ac:dyDescent="0.2">
      <c r="C47" t="s">
        <v>258</v>
      </c>
      <c r="D47" s="48">
        <f t="shared" si="0"/>
        <v>1599482</v>
      </c>
      <c r="E47" s="85">
        <v>633286</v>
      </c>
      <c r="F47" s="86">
        <v>966196</v>
      </c>
      <c r="G47" s="86">
        <f t="shared" si="1"/>
        <v>1599482</v>
      </c>
      <c r="H47" s="87"/>
      <c r="I47" s="78"/>
      <c r="J47" s="78">
        <f t="shared" si="2"/>
        <v>0</v>
      </c>
      <c r="L47" s="194"/>
      <c r="N47" s="312"/>
      <c r="Q47" s="173"/>
      <c r="AB47" s="52" t="s">
        <v>189</v>
      </c>
      <c r="AC47" s="53">
        <v>1231149</v>
      </c>
      <c r="AE47" t="s">
        <v>210</v>
      </c>
      <c r="AF47" s="86">
        <v>109808889</v>
      </c>
    </row>
    <row r="48" spans="3:32" x14ac:dyDescent="0.2">
      <c r="C48" s="52" t="s">
        <v>272</v>
      </c>
      <c r="D48" s="53">
        <f t="shared" si="0"/>
        <v>16391711</v>
      </c>
      <c r="E48" s="88">
        <v>7872445</v>
      </c>
      <c r="F48" s="89">
        <v>8519266</v>
      </c>
      <c r="G48" s="89">
        <f t="shared" si="1"/>
        <v>16391711</v>
      </c>
      <c r="H48" s="90"/>
      <c r="I48" s="80"/>
      <c r="J48" s="80">
        <f t="shared" si="2"/>
        <v>0</v>
      </c>
      <c r="L48" s="194"/>
      <c r="N48" s="312"/>
      <c r="Q48" s="173"/>
      <c r="AB48" t="s">
        <v>258</v>
      </c>
      <c r="AC48" s="48">
        <v>1599482</v>
      </c>
      <c r="AE48" t="s">
        <v>441</v>
      </c>
      <c r="AF48" s="48">
        <v>94701757</v>
      </c>
    </row>
    <row r="49" spans="3:34" x14ac:dyDescent="0.2">
      <c r="C49" t="s">
        <v>276</v>
      </c>
      <c r="D49" s="48">
        <f t="shared" si="0"/>
        <v>396610306</v>
      </c>
      <c r="E49" s="85">
        <v>228344479</v>
      </c>
      <c r="F49" s="86">
        <v>168265827</v>
      </c>
      <c r="G49" s="86">
        <f t="shared" si="1"/>
        <v>396610306</v>
      </c>
      <c r="H49" s="87"/>
      <c r="I49" s="78"/>
      <c r="J49" s="78">
        <f t="shared" si="2"/>
        <v>0</v>
      </c>
      <c r="L49" s="194"/>
      <c r="N49" s="312"/>
      <c r="Q49" s="173"/>
      <c r="AB49" s="52" t="s">
        <v>272</v>
      </c>
      <c r="AC49" s="53">
        <v>16391711</v>
      </c>
      <c r="AE49" t="s">
        <v>99</v>
      </c>
      <c r="AF49" s="48">
        <v>88897949</v>
      </c>
    </row>
    <row r="50" spans="3:34" x14ac:dyDescent="0.2">
      <c r="C50" s="52" t="s">
        <v>255</v>
      </c>
      <c r="D50" s="53">
        <f t="shared" si="0"/>
        <v>799140</v>
      </c>
      <c r="E50" s="88">
        <v>651237</v>
      </c>
      <c r="F50" s="89">
        <v>147903</v>
      </c>
      <c r="G50" s="89">
        <f t="shared" si="1"/>
        <v>799140</v>
      </c>
      <c r="H50" s="90"/>
      <c r="I50" s="80"/>
      <c r="J50" s="80">
        <f t="shared" si="2"/>
        <v>0</v>
      </c>
      <c r="L50" s="194"/>
      <c r="N50" s="312"/>
      <c r="Q50" s="173"/>
      <c r="AB50" t="s">
        <v>276</v>
      </c>
      <c r="AC50" s="48">
        <v>396610306</v>
      </c>
      <c r="AE50" t="s">
        <v>282</v>
      </c>
      <c r="AF50" s="48">
        <v>86521253</v>
      </c>
    </row>
    <row r="51" spans="3:34" x14ac:dyDescent="0.2">
      <c r="C51" t="s">
        <v>179</v>
      </c>
      <c r="D51" s="48">
        <f t="shared" si="0"/>
        <v>162912656</v>
      </c>
      <c r="E51" s="85">
        <v>93355261</v>
      </c>
      <c r="F51" s="86">
        <v>69557395</v>
      </c>
      <c r="G51" s="86">
        <f t="shared" si="1"/>
        <v>162912656</v>
      </c>
      <c r="H51" s="87"/>
      <c r="I51" s="78"/>
      <c r="J51" s="78">
        <f t="shared" si="2"/>
        <v>0</v>
      </c>
      <c r="L51" s="194"/>
      <c r="N51" s="312"/>
      <c r="Q51" s="173"/>
      <c r="AB51" s="52" t="s">
        <v>255</v>
      </c>
      <c r="AC51" s="53">
        <v>799140</v>
      </c>
      <c r="AE51" t="s">
        <v>177</v>
      </c>
      <c r="AF51" s="48">
        <v>86351004</v>
      </c>
    </row>
    <row r="52" spans="3:34" x14ac:dyDescent="0.2">
      <c r="C52" s="52" t="s">
        <v>261</v>
      </c>
      <c r="D52" s="53">
        <f t="shared" si="0"/>
        <v>941763</v>
      </c>
      <c r="E52" s="88">
        <v>152873</v>
      </c>
      <c r="F52" s="89">
        <v>788890</v>
      </c>
      <c r="G52" s="89">
        <f t="shared" si="1"/>
        <v>941763</v>
      </c>
      <c r="H52" s="90"/>
      <c r="I52" s="80"/>
      <c r="J52" s="80">
        <f t="shared" si="2"/>
        <v>0</v>
      </c>
      <c r="L52" s="194"/>
      <c r="N52" s="312"/>
      <c r="Q52" s="173"/>
      <c r="AB52" t="s">
        <v>179</v>
      </c>
      <c r="AC52" s="48">
        <v>162912656</v>
      </c>
      <c r="AE52" t="s">
        <v>285</v>
      </c>
      <c r="AF52" s="48">
        <v>86199429</v>
      </c>
    </row>
    <row r="53" spans="3:34" x14ac:dyDescent="0.2">
      <c r="C53" t="s">
        <v>144</v>
      </c>
      <c r="D53" s="48">
        <f t="shared" si="0"/>
        <v>12773031</v>
      </c>
      <c r="E53" s="85">
        <v>6835622</v>
      </c>
      <c r="F53" s="86">
        <v>5937409</v>
      </c>
      <c r="G53" s="86">
        <f t="shared" si="1"/>
        <v>12773031</v>
      </c>
      <c r="H53" s="87"/>
      <c r="I53" s="78"/>
      <c r="J53" s="78">
        <f t="shared" si="2"/>
        <v>0</v>
      </c>
      <c r="L53" s="194"/>
      <c r="N53" s="312"/>
      <c r="Q53" s="173"/>
      <c r="AB53" s="52" t="s">
        <v>261</v>
      </c>
      <c r="AC53" s="53">
        <v>941763</v>
      </c>
      <c r="AE53" t="s">
        <v>311</v>
      </c>
      <c r="AF53" s="48">
        <v>81095250</v>
      </c>
    </row>
    <row r="54" spans="3:34" x14ac:dyDescent="0.2">
      <c r="C54" s="52" t="s">
        <v>290</v>
      </c>
      <c r="D54" s="53">
        <f t="shared" si="0"/>
        <v>24677375</v>
      </c>
      <c r="E54" s="88">
        <v>11842516</v>
      </c>
      <c r="F54" s="89">
        <v>12834859</v>
      </c>
      <c r="G54" s="89">
        <f t="shared" si="1"/>
        <v>24677375</v>
      </c>
      <c r="H54" s="88"/>
      <c r="I54" s="89"/>
      <c r="J54" s="89">
        <f t="shared" si="2"/>
        <v>0</v>
      </c>
      <c r="L54" s="194"/>
      <c r="N54" s="312"/>
      <c r="Q54" s="173"/>
      <c r="AB54" t="s">
        <v>144</v>
      </c>
      <c r="AC54" s="48">
        <v>12773031</v>
      </c>
      <c r="AE54" t="s">
        <v>136</v>
      </c>
      <c r="AF54" s="48">
        <v>78605576</v>
      </c>
    </row>
    <row r="55" spans="3:34" x14ac:dyDescent="0.2">
      <c r="C55" t="s">
        <v>191</v>
      </c>
      <c r="D55" s="48">
        <f t="shared" si="0"/>
        <v>971594731.41999996</v>
      </c>
      <c r="E55" s="85">
        <v>522343808</v>
      </c>
      <c r="F55" s="86">
        <v>324908785</v>
      </c>
      <c r="G55" s="86">
        <f t="shared" si="1"/>
        <v>847252593</v>
      </c>
      <c r="H55" s="87">
        <v>102977882.34</v>
      </c>
      <c r="I55" s="78">
        <v>21364256.079999998</v>
      </c>
      <c r="J55" s="78">
        <f t="shared" si="2"/>
        <v>124342138.42</v>
      </c>
      <c r="L55" s="194"/>
      <c r="N55" s="312"/>
      <c r="Q55" s="173"/>
      <c r="AB55" s="52" t="s">
        <v>290</v>
      </c>
      <c r="AC55" s="53">
        <v>24677375</v>
      </c>
      <c r="AE55" t="s">
        <v>230</v>
      </c>
      <c r="AF55" s="48">
        <v>68427943</v>
      </c>
    </row>
    <row r="56" spans="3:34" x14ac:dyDescent="0.2">
      <c r="C56" s="52" t="s">
        <v>78</v>
      </c>
      <c r="D56" s="53">
        <f t="shared" si="0"/>
        <v>1413724</v>
      </c>
      <c r="E56" s="88">
        <v>1050834</v>
      </c>
      <c r="F56" s="89">
        <v>362890</v>
      </c>
      <c r="G56" s="89">
        <f t="shared" si="1"/>
        <v>1413724</v>
      </c>
      <c r="H56" s="90"/>
      <c r="I56" s="80"/>
      <c r="J56" s="80">
        <f t="shared" si="2"/>
        <v>0</v>
      </c>
      <c r="L56" s="194"/>
      <c r="N56" s="312"/>
      <c r="Q56" s="173"/>
      <c r="AB56" t="s">
        <v>191</v>
      </c>
      <c r="AC56" s="48">
        <v>971594731.41999996</v>
      </c>
      <c r="AE56" t="s">
        <v>218</v>
      </c>
      <c r="AF56" s="48">
        <v>61176894</v>
      </c>
    </row>
    <row r="57" spans="3:34" x14ac:dyDescent="0.2">
      <c r="C57" t="s">
        <v>105</v>
      </c>
      <c r="D57" s="48">
        <f t="shared" si="0"/>
        <v>1149026</v>
      </c>
      <c r="E57" s="85">
        <v>462937</v>
      </c>
      <c r="F57" s="86">
        <v>686089</v>
      </c>
      <c r="G57" s="86">
        <f t="shared" si="1"/>
        <v>1149026</v>
      </c>
      <c r="H57" s="87"/>
      <c r="I57" s="78"/>
      <c r="J57" s="78">
        <f t="shared" si="2"/>
        <v>0</v>
      </c>
      <c r="L57" s="194"/>
      <c r="N57" s="312"/>
      <c r="Q57" s="173"/>
      <c r="AB57" s="52" t="s">
        <v>78</v>
      </c>
      <c r="AC57" s="53">
        <v>1413724</v>
      </c>
      <c r="AE57" t="s">
        <v>127</v>
      </c>
      <c r="AF57" s="86">
        <v>58259402</v>
      </c>
    </row>
    <row r="58" spans="3:34" x14ac:dyDescent="0.2">
      <c r="C58" s="52" t="s">
        <v>103</v>
      </c>
      <c r="D58" s="53">
        <f t="shared" si="0"/>
        <v>14620418</v>
      </c>
      <c r="E58" s="88">
        <v>12238776</v>
      </c>
      <c r="F58" s="89">
        <v>2381642</v>
      </c>
      <c r="G58" s="89">
        <f t="shared" si="1"/>
        <v>14620418</v>
      </c>
      <c r="H58" s="88"/>
      <c r="I58" s="89"/>
      <c r="J58" s="89">
        <f t="shared" si="2"/>
        <v>0</v>
      </c>
      <c r="L58" s="194"/>
      <c r="N58" s="312"/>
      <c r="Q58" s="173"/>
      <c r="AB58" t="s">
        <v>105</v>
      </c>
      <c r="AC58" s="48">
        <v>1149026</v>
      </c>
      <c r="AE58" t="s">
        <v>186</v>
      </c>
      <c r="AF58" s="48">
        <v>49657175</v>
      </c>
    </row>
    <row r="59" spans="3:34" x14ac:dyDescent="0.2">
      <c r="C59" t="s">
        <v>197</v>
      </c>
      <c r="D59" s="48">
        <f t="shared" si="0"/>
        <v>35384975.359999999</v>
      </c>
      <c r="E59" s="85">
        <v>17219835</v>
      </c>
      <c r="F59" s="86">
        <v>17673905</v>
      </c>
      <c r="G59" s="86">
        <f t="shared" si="1"/>
        <v>34893740</v>
      </c>
      <c r="H59" s="87">
        <v>406492.65</v>
      </c>
      <c r="I59" s="78">
        <v>84742.71</v>
      </c>
      <c r="J59" s="78">
        <f t="shared" si="2"/>
        <v>491235.36000000004</v>
      </c>
      <c r="L59" s="194"/>
      <c r="N59" s="312"/>
      <c r="Q59" s="173"/>
      <c r="AB59" s="52" t="s">
        <v>103</v>
      </c>
      <c r="AC59" s="53">
        <v>14620418</v>
      </c>
      <c r="AE59" t="s">
        <v>188</v>
      </c>
      <c r="AF59" s="86">
        <v>45708243.829999998</v>
      </c>
    </row>
    <row r="60" spans="3:34" x14ac:dyDescent="0.2">
      <c r="C60" s="52" t="s">
        <v>238</v>
      </c>
      <c r="D60" s="53">
        <f t="shared" si="0"/>
        <v>15624142</v>
      </c>
      <c r="E60" s="88">
        <v>8094462</v>
      </c>
      <c r="F60" s="89">
        <v>7529680</v>
      </c>
      <c r="G60" s="89">
        <f t="shared" si="1"/>
        <v>15624142</v>
      </c>
      <c r="H60" s="90"/>
      <c r="I60" s="206"/>
      <c r="J60" s="206">
        <f t="shared" si="2"/>
        <v>0</v>
      </c>
      <c r="L60" s="194"/>
      <c r="N60" s="312"/>
      <c r="Q60" s="173"/>
      <c r="AB60" t="s">
        <v>197</v>
      </c>
      <c r="AC60" s="48">
        <v>35384975.359999999</v>
      </c>
      <c r="AE60" t="s">
        <v>251</v>
      </c>
      <c r="AF60" s="48">
        <v>44223428</v>
      </c>
    </row>
    <row r="61" spans="3:34" x14ac:dyDescent="0.2">
      <c r="C61" t="s">
        <v>526</v>
      </c>
      <c r="D61" s="48">
        <f t="shared" si="0"/>
        <v>30546669</v>
      </c>
      <c r="E61" s="85">
        <v>13648145</v>
      </c>
      <c r="F61" s="86">
        <v>16898524</v>
      </c>
      <c r="G61" s="86">
        <f t="shared" si="1"/>
        <v>30546669</v>
      </c>
      <c r="H61" s="193"/>
      <c r="I61" s="203"/>
      <c r="J61" s="78">
        <f t="shared" si="2"/>
        <v>0</v>
      </c>
      <c r="L61" s="194"/>
      <c r="N61" s="312"/>
      <c r="Q61" s="173"/>
      <c r="AB61" s="52" t="s">
        <v>238</v>
      </c>
      <c r="AC61" s="53">
        <v>15624142</v>
      </c>
      <c r="AE61" t="s">
        <v>111</v>
      </c>
      <c r="AF61" s="48">
        <v>43775651</v>
      </c>
    </row>
    <row r="62" spans="3:34" ht="13.5" thickBot="1" x14ac:dyDescent="0.25">
      <c r="C62" s="409" t="s">
        <v>153</v>
      </c>
      <c r="D62" s="445">
        <f>G62+J62</f>
        <v>3729746</v>
      </c>
      <c r="E62" s="446">
        <v>2464071</v>
      </c>
      <c r="F62" s="447">
        <v>1265675</v>
      </c>
      <c r="G62" s="447">
        <f t="shared" si="1"/>
        <v>3729746</v>
      </c>
      <c r="H62" s="448"/>
      <c r="I62" s="449"/>
      <c r="J62" s="449">
        <f t="shared" si="2"/>
        <v>0</v>
      </c>
      <c r="L62" s="194"/>
      <c r="N62" s="312"/>
      <c r="Q62" s="173"/>
      <c r="AB62" s="333" t="s">
        <v>526</v>
      </c>
      <c r="AC62" s="53">
        <v>30546669</v>
      </c>
      <c r="AE62" t="s">
        <v>308</v>
      </c>
      <c r="AF62" s="86">
        <v>43639025</v>
      </c>
    </row>
    <row r="63" spans="3:34" ht="13.5" thickBot="1" x14ac:dyDescent="0.25">
      <c r="C63" s="6" t="s">
        <v>334</v>
      </c>
      <c r="D63" s="48"/>
      <c r="L63" s="194"/>
      <c r="N63" s="312"/>
      <c r="Q63" s="173"/>
      <c r="AB63" s="23" t="s">
        <v>153</v>
      </c>
      <c r="AC63" s="375">
        <v>3729746</v>
      </c>
      <c r="AE63" t="s">
        <v>173</v>
      </c>
      <c r="AF63" s="48">
        <v>43509528</v>
      </c>
      <c r="AG63" s="86"/>
      <c r="AH63" s="86"/>
    </row>
    <row r="64" spans="3:34" x14ac:dyDescent="0.2">
      <c r="C64" s="6" t="s">
        <v>544</v>
      </c>
      <c r="L64" s="194"/>
      <c r="N64" s="312"/>
      <c r="Q64" s="173"/>
      <c r="AB64" s="52" t="s">
        <v>279</v>
      </c>
      <c r="AC64" s="53">
        <v>3426663637</v>
      </c>
      <c r="AE64" t="s">
        <v>165</v>
      </c>
      <c r="AF64" s="86">
        <v>43439420</v>
      </c>
      <c r="AG64" s="86"/>
      <c r="AH64" s="86"/>
    </row>
    <row r="65" spans="3:34" x14ac:dyDescent="0.2">
      <c r="C65" s="650">
        <f>'Table 19'!B69+1</f>
        <v>22</v>
      </c>
      <c r="D65" s="650"/>
      <c r="E65" s="650"/>
      <c r="F65" s="650"/>
      <c r="G65" s="650"/>
      <c r="H65" s="650"/>
      <c r="I65" s="650"/>
      <c r="J65" s="650"/>
      <c r="L65" s="194"/>
      <c r="N65" s="312"/>
      <c r="Q65" s="173"/>
      <c r="AB65" t="s">
        <v>297</v>
      </c>
      <c r="AC65" s="48">
        <v>262409983</v>
      </c>
      <c r="AE65" t="s">
        <v>155</v>
      </c>
      <c r="AF65" s="86">
        <v>39308866</v>
      </c>
      <c r="AG65" s="86"/>
      <c r="AH65" s="86"/>
    </row>
    <row r="66" spans="3:34" x14ac:dyDescent="0.2">
      <c r="C66" s="388" t="s">
        <v>540</v>
      </c>
      <c r="D66" s="481"/>
      <c r="E66" s="322"/>
      <c r="F66" s="322"/>
      <c r="G66" s="322"/>
      <c r="H66" s="322"/>
      <c r="I66" s="388"/>
      <c r="J66" s="388"/>
      <c r="K66" s="388"/>
      <c r="L66" s="482"/>
      <c r="M66" s="322"/>
      <c r="N66" s="482"/>
      <c r="O66" s="322"/>
      <c r="P66" s="322"/>
      <c r="Q66" s="483"/>
      <c r="R66" s="322"/>
      <c r="S66" s="322"/>
      <c r="T66" s="322"/>
      <c r="U66" s="322"/>
      <c r="V66" s="322"/>
      <c r="W66" s="322"/>
      <c r="X66" s="322"/>
      <c r="Y66" s="322"/>
      <c r="Z66" s="322"/>
      <c r="AA66" s="322"/>
      <c r="AB66" s="52" t="s">
        <v>111</v>
      </c>
      <c r="AC66" s="53">
        <v>43775651</v>
      </c>
      <c r="AE66" t="s">
        <v>197</v>
      </c>
      <c r="AF66" s="48">
        <v>35384975.359999999</v>
      </c>
      <c r="AG66" s="86"/>
      <c r="AH66" s="86"/>
    </row>
    <row r="67" spans="3:34" x14ac:dyDescent="0.2">
      <c r="G67" s="572" t="s">
        <v>449</v>
      </c>
      <c r="H67" s="112" t="s">
        <v>450</v>
      </c>
      <c r="I67" s="112" t="s">
        <v>451</v>
      </c>
      <c r="J67" s="112" t="s">
        <v>453</v>
      </c>
      <c r="K67" s="112"/>
      <c r="L67" s="194"/>
      <c r="N67" s="312"/>
      <c r="Q67" s="173"/>
      <c r="AB67" t="s">
        <v>165</v>
      </c>
      <c r="AC67" s="48">
        <v>43439420</v>
      </c>
      <c r="AE67" t="s">
        <v>241</v>
      </c>
      <c r="AF67" s="48">
        <v>34840083</v>
      </c>
      <c r="AG67" s="86"/>
      <c r="AH67" s="86"/>
    </row>
    <row r="68" spans="3:34" x14ac:dyDescent="0.2">
      <c r="C68" t="s">
        <v>303</v>
      </c>
      <c r="D68" s="225">
        <f t="shared" ref="D68:D99" si="5">D9/1000</f>
        <v>738942.14399999997</v>
      </c>
      <c r="G68" s="560" t="str">
        <f t="shared" ref="G68:G86" si="6">IF(D68&lt;999,C68,"")</f>
        <v/>
      </c>
      <c r="H68" t="str">
        <f t="shared" ref="H68:H86" si="7">IF($D68&lt;10999,$C68,"")</f>
        <v/>
      </c>
      <c r="I68" t="str">
        <f t="shared" ref="I68:I86" si="8">IF($D68&lt;100999,$C68,"")</f>
        <v/>
      </c>
      <c r="J68" t="str">
        <f t="shared" ref="J68:J86" si="9">IF($D68&gt;100999,$C68,"")</f>
        <v>Alamogordo</v>
      </c>
      <c r="L68" s="194"/>
      <c r="N68" s="312"/>
      <c r="Q68" s="173"/>
      <c r="AB68" s="52" t="s">
        <v>45</v>
      </c>
      <c r="AC68" s="53">
        <v>1105538877</v>
      </c>
      <c r="AE68" t="s">
        <v>526</v>
      </c>
      <c r="AF68" s="86">
        <v>30546669</v>
      </c>
      <c r="AG68" s="86"/>
      <c r="AH68" s="86"/>
    </row>
    <row r="69" spans="3:34" x14ac:dyDescent="0.2">
      <c r="C69" t="s">
        <v>76</v>
      </c>
      <c r="D69" s="225">
        <f t="shared" si="5"/>
        <v>18425840.938999999</v>
      </c>
      <c r="G69" s="560" t="str">
        <f t="shared" si="6"/>
        <v/>
      </c>
      <c r="H69" t="str">
        <f t="shared" si="7"/>
        <v/>
      </c>
      <c r="I69" t="str">
        <f t="shared" si="8"/>
        <v/>
      </c>
      <c r="J69" t="str">
        <f t="shared" si="9"/>
        <v>Albuquerque</v>
      </c>
      <c r="L69" s="194"/>
      <c r="N69" s="312"/>
      <c r="Q69" s="173"/>
      <c r="AB69" t="s">
        <v>275</v>
      </c>
      <c r="AC69" s="48">
        <v>743294398</v>
      </c>
      <c r="AE69" t="s">
        <v>304</v>
      </c>
      <c r="AF69" s="48">
        <v>28299784</v>
      </c>
      <c r="AG69" s="86"/>
      <c r="AH69" s="86"/>
    </row>
    <row r="70" spans="3:34" x14ac:dyDescent="0.2">
      <c r="C70" t="s">
        <v>206</v>
      </c>
      <c r="D70" s="225">
        <f t="shared" si="5"/>
        <v>352861.08899999998</v>
      </c>
      <c r="G70" s="560" t="str">
        <f t="shared" si="6"/>
        <v/>
      </c>
      <c r="H70" t="str">
        <f t="shared" si="7"/>
        <v/>
      </c>
      <c r="I70" t="str">
        <f t="shared" si="8"/>
        <v/>
      </c>
      <c r="J70" t="str">
        <f t="shared" si="9"/>
        <v>Angel Fire</v>
      </c>
      <c r="L70" s="194"/>
      <c r="N70" s="312"/>
      <c r="Q70" s="173"/>
      <c r="AB70" s="52" t="s">
        <v>82</v>
      </c>
      <c r="AC70" s="53">
        <v>366225251</v>
      </c>
      <c r="AE70" t="s">
        <v>208</v>
      </c>
      <c r="AF70" s="86">
        <v>28266211</v>
      </c>
      <c r="AG70" s="86"/>
      <c r="AH70" s="86"/>
    </row>
    <row r="71" spans="3:34" x14ac:dyDescent="0.2">
      <c r="C71" t="s">
        <v>441</v>
      </c>
      <c r="D71" s="225">
        <f t="shared" si="5"/>
        <v>94701.756999999998</v>
      </c>
      <c r="G71" s="560" t="str">
        <f t="shared" si="6"/>
        <v/>
      </c>
      <c r="H71" t="str">
        <f t="shared" si="7"/>
        <v/>
      </c>
      <c r="I71" t="str">
        <f t="shared" si="8"/>
        <v>Anthony</v>
      </c>
      <c r="J71" t="str">
        <f t="shared" si="9"/>
        <v/>
      </c>
      <c r="L71" s="194"/>
      <c r="N71" s="312"/>
      <c r="Q71" s="173"/>
      <c r="AB71" t="s">
        <v>306</v>
      </c>
      <c r="AC71" s="48">
        <v>19663060</v>
      </c>
      <c r="AE71" t="s">
        <v>86</v>
      </c>
      <c r="AF71" s="86">
        <v>25222005</v>
      </c>
      <c r="AG71" s="86"/>
      <c r="AH71" s="86"/>
    </row>
    <row r="72" spans="3:34" x14ac:dyDescent="0.2">
      <c r="C72" t="s">
        <v>310</v>
      </c>
      <c r="D72" s="225">
        <f t="shared" si="5"/>
        <v>586147.70069000009</v>
      </c>
      <c r="G72" s="560" t="str">
        <f t="shared" si="6"/>
        <v/>
      </c>
      <c r="H72" t="str">
        <f t="shared" si="7"/>
        <v/>
      </c>
      <c r="I72" t="str">
        <f t="shared" si="8"/>
        <v/>
      </c>
      <c r="J72" t="str">
        <f t="shared" si="9"/>
        <v>Artesia</v>
      </c>
      <c r="L72" s="194"/>
      <c r="N72" s="312"/>
      <c r="Q72" s="173"/>
      <c r="AB72" s="52" t="s">
        <v>181</v>
      </c>
      <c r="AC72" s="53">
        <v>149354847</v>
      </c>
      <c r="AE72" t="s">
        <v>290</v>
      </c>
      <c r="AF72" s="48">
        <v>24677375</v>
      </c>
      <c r="AG72" s="86"/>
      <c r="AH72" s="86"/>
    </row>
    <row r="73" spans="3:34" x14ac:dyDescent="0.2">
      <c r="C73" t="s">
        <v>270</v>
      </c>
      <c r="D73" s="225">
        <f t="shared" si="5"/>
        <v>158949.11364</v>
      </c>
      <c r="G73" s="560" t="str">
        <f t="shared" si="6"/>
        <v/>
      </c>
      <c r="H73" t="str">
        <f t="shared" si="7"/>
        <v/>
      </c>
      <c r="I73" t="str">
        <f t="shared" si="8"/>
        <v/>
      </c>
      <c r="J73" t="str">
        <f t="shared" si="9"/>
        <v>Aztec</v>
      </c>
      <c r="L73" s="194"/>
      <c r="N73" s="312"/>
      <c r="Q73" s="173"/>
      <c r="AB73" t="s">
        <v>151</v>
      </c>
      <c r="AC73" s="48">
        <v>10030100</v>
      </c>
      <c r="AE73" t="s">
        <v>109</v>
      </c>
      <c r="AF73" s="48">
        <v>23302351</v>
      </c>
      <c r="AG73" s="86"/>
      <c r="AH73" s="86"/>
    </row>
    <row r="74" spans="3:34" x14ac:dyDescent="0.2">
      <c r="C74" t="s">
        <v>109</v>
      </c>
      <c r="D74" s="225">
        <f t="shared" si="5"/>
        <v>23302.350999999999</v>
      </c>
      <c r="G74" s="560" t="str">
        <f t="shared" si="6"/>
        <v/>
      </c>
      <c r="H74" t="str">
        <f t="shared" si="7"/>
        <v/>
      </c>
      <c r="I74" t="str">
        <f t="shared" si="8"/>
        <v>Bayard</v>
      </c>
      <c r="J74" t="str">
        <f t="shared" si="9"/>
        <v/>
      </c>
      <c r="L74" s="194"/>
      <c r="N74" s="312"/>
      <c r="Q74" s="173"/>
      <c r="AB74" s="52" t="s">
        <v>219</v>
      </c>
      <c r="AC74" s="53">
        <v>3134853</v>
      </c>
      <c r="AE74" t="s">
        <v>204</v>
      </c>
      <c r="AF74" s="48">
        <v>22784007</v>
      </c>
      <c r="AG74" s="86"/>
      <c r="AH74" s="86"/>
    </row>
    <row r="75" spans="3:34" x14ac:dyDescent="0.2">
      <c r="C75" t="s">
        <v>281</v>
      </c>
      <c r="D75" s="225">
        <f t="shared" si="5"/>
        <v>230803.709</v>
      </c>
      <c r="G75" s="560" t="str">
        <f t="shared" si="6"/>
        <v/>
      </c>
      <c r="H75" t="str">
        <f t="shared" si="7"/>
        <v/>
      </c>
      <c r="I75" t="str">
        <f t="shared" si="8"/>
        <v/>
      </c>
      <c r="J75" t="str">
        <f t="shared" si="9"/>
        <v>Belen</v>
      </c>
      <c r="L75" s="194"/>
      <c r="N75" s="312"/>
      <c r="Q75" s="173"/>
      <c r="AB75" t="s">
        <v>252</v>
      </c>
      <c r="AC75" s="48">
        <v>10778414</v>
      </c>
      <c r="AE75" t="s">
        <v>233</v>
      </c>
      <c r="AF75" s="86">
        <v>21545540</v>
      </c>
      <c r="AG75" s="86"/>
      <c r="AH75" s="86"/>
    </row>
    <row r="76" spans="3:34" x14ac:dyDescent="0.2">
      <c r="C76" t="s">
        <v>31</v>
      </c>
      <c r="D76" s="225">
        <f t="shared" si="5"/>
        <v>290911.93599999999</v>
      </c>
      <c r="G76" s="560" t="str">
        <f t="shared" si="6"/>
        <v/>
      </c>
      <c r="H76" t="str">
        <f t="shared" si="7"/>
        <v/>
      </c>
      <c r="I76" t="str">
        <f t="shared" si="8"/>
        <v/>
      </c>
      <c r="J76" t="str">
        <f t="shared" si="9"/>
        <v>Bernalillo</v>
      </c>
      <c r="L76" s="194"/>
      <c r="N76" s="312"/>
      <c r="Q76" s="173"/>
      <c r="AB76" s="52" t="s">
        <v>282</v>
      </c>
      <c r="AC76" s="53">
        <v>86521253</v>
      </c>
      <c r="AE76" t="s">
        <v>269</v>
      </c>
      <c r="AF76" s="48">
        <v>20451454</v>
      </c>
      <c r="AG76" s="86"/>
      <c r="AH76" s="86"/>
    </row>
    <row r="77" spans="3:34" x14ac:dyDescent="0.2">
      <c r="C77" t="s">
        <v>277</v>
      </c>
      <c r="D77" s="225">
        <f t="shared" si="5"/>
        <v>169009.24591999999</v>
      </c>
      <c r="G77" s="560" t="str">
        <f t="shared" si="6"/>
        <v/>
      </c>
      <c r="H77" t="str">
        <f t="shared" si="7"/>
        <v/>
      </c>
      <c r="I77" t="str">
        <f t="shared" si="8"/>
        <v/>
      </c>
      <c r="J77" t="str">
        <f t="shared" si="9"/>
        <v>Bloomfield</v>
      </c>
      <c r="L77" s="194"/>
      <c r="N77" s="312"/>
      <c r="Q77" s="173"/>
      <c r="AB77" t="s">
        <v>186</v>
      </c>
      <c r="AC77" s="48">
        <v>49657175</v>
      </c>
      <c r="AE77" t="s">
        <v>306</v>
      </c>
      <c r="AF77" s="48">
        <v>19663060</v>
      </c>
      <c r="AG77" s="86"/>
      <c r="AH77" s="86"/>
    </row>
    <row r="78" spans="3:34" x14ac:dyDescent="0.2">
      <c r="C78" t="s">
        <v>278</v>
      </c>
      <c r="D78" s="225">
        <f t="shared" si="5"/>
        <v>128846.47100000001</v>
      </c>
      <c r="G78" s="560" t="str">
        <f t="shared" si="6"/>
        <v/>
      </c>
      <c r="H78" t="str">
        <f t="shared" si="7"/>
        <v/>
      </c>
      <c r="I78" t="str">
        <f t="shared" si="8"/>
        <v/>
      </c>
      <c r="J78" t="str">
        <f t="shared" si="9"/>
        <v>Bosque Farms</v>
      </c>
      <c r="L78" s="194"/>
      <c r="N78" s="312"/>
      <c r="Q78" s="173"/>
      <c r="AB78" s="52" t="s">
        <v>218</v>
      </c>
      <c r="AC78" s="53">
        <v>61176894</v>
      </c>
      <c r="AE78" t="s">
        <v>228</v>
      </c>
      <c r="AF78" s="86">
        <v>19438674</v>
      </c>
      <c r="AG78" s="86"/>
      <c r="AH78" s="86"/>
    </row>
    <row r="79" spans="3:34" x14ac:dyDescent="0.2">
      <c r="C79" t="s">
        <v>241</v>
      </c>
      <c r="D79" s="225">
        <f t="shared" si="5"/>
        <v>34840.082999999999</v>
      </c>
      <c r="G79" s="560" t="str">
        <f t="shared" si="6"/>
        <v/>
      </c>
      <c r="H79" t="str">
        <f t="shared" si="7"/>
        <v/>
      </c>
      <c r="I79" t="str">
        <f t="shared" si="8"/>
        <v>Capitan</v>
      </c>
      <c r="J79" t="str">
        <f t="shared" si="9"/>
        <v/>
      </c>
      <c r="L79" s="194"/>
      <c r="N79" s="312"/>
      <c r="Q79" s="173"/>
      <c r="AB79" t="s">
        <v>146</v>
      </c>
      <c r="AC79" s="48">
        <v>1323647</v>
      </c>
      <c r="AE79" t="s">
        <v>201</v>
      </c>
      <c r="AF79" s="48">
        <v>16653183</v>
      </c>
      <c r="AG79" s="86"/>
      <c r="AH79" s="86"/>
    </row>
    <row r="80" spans="3:34" x14ac:dyDescent="0.2">
      <c r="C80" t="s">
        <v>301</v>
      </c>
      <c r="D80" s="225">
        <f t="shared" si="5"/>
        <v>1007595.33766</v>
      </c>
      <c r="G80" s="560" t="str">
        <f t="shared" si="6"/>
        <v/>
      </c>
      <c r="H80" t="str">
        <f t="shared" si="7"/>
        <v/>
      </c>
      <c r="I80" t="str">
        <f t="shared" si="8"/>
        <v/>
      </c>
      <c r="J80" t="str">
        <f t="shared" si="9"/>
        <v>Carlsbad</v>
      </c>
      <c r="L80" s="194"/>
      <c r="N80" s="312"/>
      <c r="Q80" s="173"/>
      <c r="AB80" s="52" t="s">
        <v>223</v>
      </c>
      <c r="AC80" s="53">
        <v>13749640</v>
      </c>
      <c r="AE80" t="s">
        <v>114</v>
      </c>
      <c r="AF80" s="48">
        <v>16599517</v>
      </c>
      <c r="AG80" s="86"/>
      <c r="AH80" s="86"/>
    </row>
    <row r="81" spans="3:34" x14ac:dyDescent="0.2">
      <c r="C81" t="s">
        <v>233</v>
      </c>
      <c r="D81" s="225">
        <f t="shared" si="5"/>
        <v>21545.54</v>
      </c>
      <c r="G81" s="560" t="str">
        <f t="shared" si="6"/>
        <v/>
      </c>
      <c r="H81" t="str">
        <f t="shared" si="7"/>
        <v/>
      </c>
      <c r="I81" t="str">
        <f t="shared" si="8"/>
        <v>Carrizozo</v>
      </c>
      <c r="J81" t="str">
        <f t="shared" si="9"/>
        <v/>
      </c>
      <c r="L81" s="194"/>
      <c r="N81" s="312"/>
      <c r="Q81" s="173"/>
      <c r="AB81" t="s">
        <v>304</v>
      </c>
      <c r="AC81" s="48">
        <v>28299784</v>
      </c>
      <c r="AE81" t="s">
        <v>272</v>
      </c>
      <c r="AF81" s="48">
        <v>16391711</v>
      </c>
      <c r="AG81" s="86"/>
      <c r="AH81" s="86"/>
    </row>
    <row r="82" spans="3:34" x14ac:dyDescent="0.2">
      <c r="C82" t="s">
        <v>193</v>
      </c>
      <c r="D82" s="225">
        <f t="shared" si="5"/>
        <v>1377.002</v>
      </c>
      <c r="G82" s="560" t="str">
        <f t="shared" si="6"/>
        <v/>
      </c>
      <c r="H82" t="str">
        <f t="shared" si="7"/>
        <v>Causey</v>
      </c>
      <c r="J82" t="str">
        <f t="shared" si="9"/>
        <v/>
      </c>
      <c r="L82" s="194"/>
      <c r="N82" s="312"/>
      <c r="Q82" s="173"/>
      <c r="AB82" s="52" t="s">
        <v>285</v>
      </c>
      <c r="AC82" s="53">
        <v>86199429</v>
      </c>
      <c r="AE82" t="s">
        <v>238</v>
      </c>
      <c r="AF82" s="48">
        <v>15624142</v>
      </c>
      <c r="AG82" s="86"/>
      <c r="AH82" s="86"/>
    </row>
    <row r="83" spans="3:34" x14ac:dyDescent="0.2">
      <c r="C83" t="s">
        <v>155</v>
      </c>
      <c r="D83" s="225">
        <f t="shared" si="5"/>
        <v>39308.866000000002</v>
      </c>
      <c r="G83" s="560" t="str">
        <f t="shared" si="6"/>
        <v/>
      </c>
      <c r="H83" t="str">
        <f t="shared" si="7"/>
        <v/>
      </c>
      <c r="I83" t="str">
        <f t="shared" si="8"/>
        <v>Chama</v>
      </c>
      <c r="J83" t="str">
        <f t="shared" si="9"/>
        <v/>
      </c>
      <c r="L83" s="194"/>
      <c r="N83" s="312"/>
      <c r="Q83" s="173"/>
      <c r="AB83" t="s">
        <v>176</v>
      </c>
      <c r="AC83" s="48">
        <v>208860450</v>
      </c>
      <c r="AE83" t="s">
        <v>148</v>
      </c>
      <c r="AF83" s="48">
        <v>15019327</v>
      </c>
      <c r="AG83" s="86"/>
      <c r="AH83" s="86"/>
    </row>
    <row r="84" spans="3:34" x14ac:dyDescent="0.2">
      <c r="C84" t="s">
        <v>201</v>
      </c>
      <c r="D84" s="225">
        <f t="shared" si="5"/>
        <v>16653.183000000001</v>
      </c>
      <c r="G84" s="560" t="str">
        <f t="shared" si="6"/>
        <v/>
      </c>
      <c r="H84" t="str">
        <f t="shared" si="7"/>
        <v/>
      </c>
      <c r="I84" t="str">
        <f t="shared" si="8"/>
        <v>Cimarron</v>
      </c>
      <c r="J84" t="str">
        <f t="shared" si="9"/>
        <v/>
      </c>
      <c r="L84" s="194"/>
      <c r="N84" s="312"/>
      <c r="Q84" s="173"/>
      <c r="AB84" s="52" t="s">
        <v>173</v>
      </c>
      <c r="AC84" s="53">
        <v>43509528</v>
      </c>
      <c r="AE84" t="s">
        <v>103</v>
      </c>
      <c r="AF84" s="86">
        <v>14620418</v>
      </c>
      <c r="AG84" s="86"/>
      <c r="AH84" s="86"/>
    </row>
    <row r="85" spans="3:34" x14ac:dyDescent="0.2">
      <c r="C85" t="s">
        <v>251</v>
      </c>
      <c r="D85" s="225">
        <f t="shared" si="5"/>
        <v>44223.428</v>
      </c>
      <c r="G85" s="560" t="str">
        <f t="shared" si="6"/>
        <v/>
      </c>
      <c r="H85" t="str">
        <f t="shared" si="7"/>
        <v/>
      </c>
      <c r="I85" t="str">
        <f t="shared" si="8"/>
        <v>Clayton</v>
      </c>
      <c r="J85" t="str">
        <f t="shared" si="9"/>
        <v/>
      </c>
      <c r="L85" s="194"/>
      <c r="N85" s="312"/>
      <c r="Q85" s="173"/>
      <c r="AB85" t="s">
        <v>210</v>
      </c>
      <c r="AC85" s="48">
        <v>109808889</v>
      </c>
      <c r="AE85" t="s">
        <v>223</v>
      </c>
      <c r="AF85" s="86">
        <v>13749640</v>
      </c>
      <c r="AG85" s="86"/>
      <c r="AH85" s="86"/>
    </row>
    <row r="86" spans="3:34" x14ac:dyDescent="0.2">
      <c r="C86" t="s">
        <v>311</v>
      </c>
      <c r="D86" s="225">
        <f t="shared" si="5"/>
        <v>81095.25</v>
      </c>
      <c r="G86" s="560" t="str">
        <f t="shared" si="6"/>
        <v/>
      </c>
      <c r="H86" t="str">
        <f t="shared" si="7"/>
        <v/>
      </c>
      <c r="I86" t="str">
        <f t="shared" si="8"/>
        <v>Cloudcroft</v>
      </c>
      <c r="J86" t="str">
        <f t="shared" si="9"/>
        <v/>
      </c>
      <c r="L86" s="194"/>
      <c r="N86" s="312"/>
      <c r="Q86" s="173"/>
      <c r="AB86" s="52" t="s">
        <v>177</v>
      </c>
      <c r="AC86" s="53">
        <v>86351004</v>
      </c>
      <c r="AE86" t="s">
        <v>234</v>
      </c>
      <c r="AF86" s="48">
        <v>12791739</v>
      </c>
      <c r="AG86" s="86"/>
      <c r="AH86" s="86"/>
    </row>
    <row r="87" spans="3:34" x14ac:dyDescent="0.2">
      <c r="C87" t="s">
        <v>244</v>
      </c>
      <c r="D87" s="225">
        <f t="shared" si="5"/>
        <v>839199.56700000004</v>
      </c>
      <c r="G87" s="560" t="str">
        <f t="shared" ref="G87:G121" si="10">IF(D87&lt;999,C87,"")</f>
        <v/>
      </c>
      <c r="H87" t="str">
        <f t="shared" ref="H87:H121" si="11">IF($D87&lt;10999,$C87,"")</f>
        <v/>
      </c>
      <c r="I87" t="str">
        <f t="shared" ref="I87:I120" si="12">IF($D87&lt;100999,$C87,"")</f>
        <v/>
      </c>
      <c r="J87" t="str">
        <f t="shared" ref="J87:J121" si="13">IF($D87&gt;100999,$C87,"")</f>
        <v>Clovis</v>
      </c>
      <c r="L87" s="194"/>
      <c r="N87" s="312"/>
      <c r="Q87" s="173"/>
      <c r="AB87" t="s">
        <v>118</v>
      </c>
      <c r="AC87" s="48">
        <v>7970465</v>
      </c>
      <c r="AE87" t="s">
        <v>144</v>
      </c>
      <c r="AF87" s="86">
        <v>12773031</v>
      </c>
      <c r="AG87" s="86"/>
      <c r="AH87" s="86"/>
    </row>
    <row r="88" spans="3:34" x14ac:dyDescent="0.2">
      <c r="C88" t="s">
        <v>269</v>
      </c>
      <c r="D88" s="225">
        <f t="shared" si="5"/>
        <v>20451.454000000002</v>
      </c>
      <c r="G88" s="560" t="str">
        <f t="shared" si="10"/>
        <v/>
      </c>
      <c r="H88" t="str">
        <f t="shared" si="11"/>
        <v/>
      </c>
      <c r="I88" t="str">
        <f t="shared" si="12"/>
        <v>Columbus</v>
      </c>
      <c r="J88" t="str">
        <f t="shared" si="13"/>
        <v/>
      </c>
      <c r="L88" s="194"/>
      <c r="N88" s="312"/>
      <c r="Q88" s="173"/>
      <c r="AB88" s="52" t="s">
        <v>459</v>
      </c>
      <c r="AC88" s="53">
        <v>110653830</v>
      </c>
      <c r="AE88" t="s">
        <v>216</v>
      </c>
      <c r="AF88" s="48">
        <v>12765699</v>
      </c>
      <c r="AG88" s="86"/>
      <c r="AH88" s="86"/>
    </row>
    <row r="89" spans="3:34" x14ac:dyDescent="0.2">
      <c r="C89" t="s">
        <v>237</v>
      </c>
      <c r="D89" s="225">
        <f t="shared" si="5"/>
        <v>7403.8959999999997</v>
      </c>
      <c r="G89" s="560" t="str">
        <f t="shared" si="10"/>
        <v/>
      </c>
      <c r="H89" t="str">
        <f t="shared" si="11"/>
        <v>Corona</v>
      </c>
      <c r="J89" t="str">
        <f t="shared" si="13"/>
        <v/>
      </c>
      <c r="L89" s="194"/>
      <c r="N89" s="312"/>
      <c r="Q89" s="173"/>
      <c r="AB89" t="s">
        <v>95</v>
      </c>
      <c r="AC89" s="48">
        <v>3793300109</v>
      </c>
      <c r="AE89" t="s">
        <v>202</v>
      </c>
      <c r="AF89" s="48">
        <v>11125118</v>
      </c>
      <c r="AG89" s="86"/>
      <c r="AH89" s="86"/>
    </row>
    <row r="90" spans="3:34" x14ac:dyDescent="0.2">
      <c r="C90" t="s">
        <v>90</v>
      </c>
      <c r="D90" s="225">
        <f t="shared" si="5"/>
        <v>612825.99100000004</v>
      </c>
      <c r="G90" s="560" t="str">
        <f t="shared" si="10"/>
        <v/>
      </c>
      <c r="H90" t="str">
        <f t="shared" si="11"/>
        <v/>
      </c>
      <c r="I90" t="str">
        <f t="shared" si="12"/>
        <v/>
      </c>
      <c r="J90" t="str">
        <f t="shared" si="13"/>
        <v>Corrales</v>
      </c>
      <c r="L90" s="194"/>
      <c r="N90" s="312"/>
      <c r="Q90" s="173"/>
      <c r="AB90" s="52" t="s">
        <v>138</v>
      </c>
      <c r="AC90" s="53">
        <v>959922878</v>
      </c>
      <c r="AE90" t="s">
        <v>252</v>
      </c>
      <c r="AF90" s="86">
        <v>10778414</v>
      </c>
      <c r="AG90" s="86"/>
      <c r="AH90" s="86"/>
    </row>
    <row r="91" spans="3:34" x14ac:dyDescent="0.2">
      <c r="C91" t="s">
        <v>234</v>
      </c>
      <c r="D91" s="225">
        <f t="shared" si="5"/>
        <v>12791.739</v>
      </c>
      <c r="G91" s="560" t="str">
        <f t="shared" si="10"/>
        <v/>
      </c>
      <c r="H91" t="str">
        <f t="shared" si="11"/>
        <v/>
      </c>
      <c r="I91" t="str">
        <f t="shared" si="12"/>
        <v>Cuba</v>
      </c>
      <c r="J91" t="str">
        <f t="shared" si="13"/>
        <v/>
      </c>
      <c r="L91" s="194"/>
      <c r="N91" s="312"/>
      <c r="Q91" s="173"/>
      <c r="AB91" t="s">
        <v>140</v>
      </c>
      <c r="AC91" s="48">
        <v>2760119</v>
      </c>
      <c r="AE91" t="s">
        <v>133</v>
      </c>
      <c r="AF91" s="86">
        <v>10747283</v>
      </c>
      <c r="AG91" s="86"/>
      <c r="AH91" s="86"/>
    </row>
    <row r="92" spans="3:34" x14ac:dyDescent="0.2">
      <c r="C92" t="s">
        <v>265</v>
      </c>
      <c r="D92" s="225">
        <f t="shared" si="5"/>
        <v>310967.32</v>
      </c>
      <c r="G92" s="560" t="str">
        <f t="shared" si="10"/>
        <v/>
      </c>
      <c r="H92" t="str">
        <f t="shared" si="11"/>
        <v/>
      </c>
      <c r="I92" t="str">
        <f t="shared" si="12"/>
        <v/>
      </c>
      <c r="J92" t="str">
        <f t="shared" si="13"/>
        <v>Deming</v>
      </c>
      <c r="L92" s="194"/>
      <c r="N92" s="312"/>
      <c r="Q92" s="173"/>
      <c r="AB92" s="52" t="s">
        <v>226</v>
      </c>
      <c r="AC92" s="53">
        <v>708783996</v>
      </c>
      <c r="AE92" t="s">
        <v>248</v>
      </c>
      <c r="AF92" s="86">
        <v>10394857</v>
      </c>
      <c r="AG92" s="86"/>
      <c r="AH92" s="86"/>
    </row>
    <row r="93" spans="3:34" x14ac:dyDescent="0.2">
      <c r="C93" t="s">
        <v>253</v>
      </c>
      <c r="D93" s="225">
        <f t="shared" si="5"/>
        <v>2863.49</v>
      </c>
      <c r="G93" s="560" t="str">
        <f t="shared" si="10"/>
        <v/>
      </c>
      <c r="H93" t="str">
        <f t="shared" si="11"/>
        <v>Des Moines</v>
      </c>
      <c r="J93" t="str">
        <f t="shared" si="13"/>
        <v/>
      </c>
      <c r="L93" s="194"/>
      <c r="N93" s="312"/>
      <c r="Q93" s="173"/>
      <c r="AB93" t="s">
        <v>230</v>
      </c>
      <c r="AC93" s="48">
        <v>68427943</v>
      </c>
      <c r="AE93" t="s">
        <v>151</v>
      </c>
      <c r="AF93" s="86">
        <v>10030100</v>
      </c>
      <c r="AG93" s="86"/>
      <c r="AH93" s="86"/>
    </row>
    <row r="94" spans="3:34" x14ac:dyDescent="0.2">
      <c r="C94" t="s">
        <v>148</v>
      </c>
      <c r="D94" s="225">
        <f t="shared" si="5"/>
        <v>15019.326999999999</v>
      </c>
      <c r="G94" s="560" t="str">
        <f t="shared" si="10"/>
        <v/>
      </c>
      <c r="H94" t="str">
        <f t="shared" si="11"/>
        <v/>
      </c>
      <c r="I94" t="str">
        <f t="shared" si="12"/>
        <v>Dexter</v>
      </c>
      <c r="J94" t="str">
        <f t="shared" si="13"/>
        <v/>
      </c>
      <c r="L94" s="194"/>
      <c r="N94" s="312"/>
      <c r="Q94" s="173"/>
      <c r="AB94" s="52" t="s">
        <v>116</v>
      </c>
      <c r="AC94" s="53">
        <v>3372851</v>
      </c>
      <c r="AE94" t="s">
        <v>118</v>
      </c>
      <c r="AF94" s="48">
        <v>7970465</v>
      </c>
      <c r="AG94" s="86"/>
      <c r="AH94" s="86"/>
    </row>
    <row r="95" spans="3:34" x14ac:dyDescent="0.2">
      <c r="C95" t="s">
        <v>199</v>
      </c>
      <c r="D95" s="225">
        <f t="shared" si="5"/>
        <v>1395.069</v>
      </c>
      <c r="G95" s="560" t="str">
        <f t="shared" si="10"/>
        <v/>
      </c>
      <c r="H95" t="str">
        <f t="shared" si="11"/>
        <v>Dora</v>
      </c>
      <c r="J95" t="str">
        <f t="shared" si="13"/>
        <v/>
      </c>
      <c r="L95" s="194"/>
      <c r="N95" s="312"/>
      <c r="Q95" s="173"/>
      <c r="AB95" t="s">
        <v>242</v>
      </c>
      <c r="AC95" s="48">
        <v>5434083</v>
      </c>
      <c r="AE95" t="s">
        <v>237</v>
      </c>
      <c r="AF95" s="86">
        <v>7403896</v>
      </c>
      <c r="AG95" s="86"/>
      <c r="AH95" s="86"/>
    </row>
    <row r="96" spans="3:34" x14ac:dyDescent="0.2">
      <c r="C96" t="s">
        <v>204</v>
      </c>
      <c r="D96" s="225">
        <f t="shared" si="5"/>
        <v>22784.007000000001</v>
      </c>
      <c r="G96" s="560" t="str">
        <f t="shared" si="10"/>
        <v/>
      </c>
      <c r="H96" t="str">
        <f t="shared" si="11"/>
        <v/>
      </c>
      <c r="I96" t="str">
        <f t="shared" si="12"/>
        <v>Eagle Nest</v>
      </c>
      <c r="J96" t="str">
        <f t="shared" si="13"/>
        <v/>
      </c>
      <c r="L96" s="194"/>
      <c r="N96" s="312"/>
      <c r="Q96" s="173"/>
      <c r="AB96" s="52" t="s">
        <v>114</v>
      </c>
      <c r="AC96" s="53">
        <v>16599517</v>
      </c>
      <c r="AE96" t="s">
        <v>289</v>
      </c>
      <c r="AF96" s="86">
        <v>6953867</v>
      </c>
      <c r="AG96" s="86"/>
      <c r="AH96" s="86"/>
    </row>
    <row r="97" spans="3:34" x14ac:dyDescent="0.2">
      <c r="C97" t="s">
        <v>100</v>
      </c>
      <c r="D97" s="225">
        <f t="shared" si="5"/>
        <v>223621.247</v>
      </c>
      <c r="G97" s="560" t="str">
        <f t="shared" si="10"/>
        <v/>
      </c>
      <c r="H97" t="str">
        <f t="shared" si="11"/>
        <v/>
      </c>
      <c r="I97" t="str">
        <f t="shared" si="12"/>
        <v/>
      </c>
      <c r="J97" t="str">
        <f t="shared" si="13"/>
        <v>Edgewood</v>
      </c>
      <c r="L97" s="194"/>
      <c r="N97" s="312"/>
      <c r="Q97" s="173"/>
      <c r="AB97" t="s">
        <v>56</v>
      </c>
      <c r="AC97" s="48">
        <v>6004448698</v>
      </c>
      <c r="AE97" t="s">
        <v>130</v>
      </c>
      <c r="AF97" s="86">
        <v>6618394</v>
      </c>
      <c r="AG97" s="86"/>
      <c r="AH97" s="86"/>
    </row>
    <row r="98" spans="3:34" x14ac:dyDescent="0.2">
      <c r="C98" t="s">
        <v>136</v>
      </c>
      <c r="D98" s="225">
        <f t="shared" si="5"/>
        <v>78605.576000000001</v>
      </c>
      <c r="G98" s="560" t="str">
        <f t="shared" si="10"/>
        <v/>
      </c>
      <c r="H98" t="str">
        <f t="shared" si="11"/>
        <v/>
      </c>
      <c r="I98" t="str">
        <f t="shared" si="12"/>
        <v>Elephant Butte</v>
      </c>
      <c r="J98" t="str">
        <f t="shared" si="13"/>
        <v/>
      </c>
      <c r="L98" s="194"/>
      <c r="N98" s="312"/>
      <c r="Q98" s="173"/>
      <c r="AB98" s="52" t="s">
        <v>127</v>
      </c>
      <c r="AC98" s="53">
        <v>58259402</v>
      </c>
      <c r="AE98" t="s">
        <v>242</v>
      </c>
      <c r="AF98" s="48">
        <v>5434083</v>
      </c>
      <c r="AG98" s="86"/>
      <c r="AH98" s="86"/>
    </row>
    <row r="99" spans="3:34" x14ac:dyDescent="0.2">
      <c r="C99" t="s">
        <v>182</v>
      </c>
      <c r="D99" s="225">
        <f t="shared" si="5"/>
        <v>3172.32</v>
      </c>
      <c r="G99" s="560" t="str">
        <f t="shared" si="10"/>
        <v/>
      </c>
      <c r="H99" t="str">
        <f t="shared" si="11"/>
        <v>Elida</v>
      </c>
      <c r="J99" t="str">
        <f t="shared" si="13"/>
        <v/>
      </c>
      <c r="L99" s="194"/>
      <c r="N99" s="312"/>
      <c r="Q99" s="173"/>
      <c r="AB99" t="s">
        <v>97</v>
      </c>
      <c r="AC99" s="48">
        <v>244254768</v>
      </c>
      <c r="AE99" t="s">
        <v>153</v>
      </c>
      <c r="AF99" s="48">
        <v>3729746</v>
      </c>
      <c r="AG99" s="86"/>
      <c r="AH99" s="86"/>
    </row>
    <row r="100" spans="3:34" x14ac:dyDescent="0.2">
      <c r="C100" t="s">
        <v>228</v>
      </c>
      <c r="D100" s="225">
        <f t="shared" ref="D100:D121" si="14">D41/1000</f>
        <v>19438.673999999999</v>
      </c>
      <c r="G100" s="560" t="str">
        <f t="shared" si="10"/>
        <v/>
      </c>
      <c r="H100" t="s">
        <v>228</v>
      </c>
      <c r="J100" t="str">
        <f t="shared" si="13"/>
        <v/>
      </c>
      <c r="L100" s="194"/>
      <c r="N100" s="312"/>
      <c r="Q100" s="173"/>
      <c r="AB100" s="52" t="s">
        <v>58</v>
      </c>
      <c r="AC100" s="53">
        <v>154508008</v>
      </c>
      <c r="AE100" t="s">
        <v>116</v>
      </c>
      <c r="AF100" s="48">
        <v>3372851</v>
      </c>
      <c r="AG100" s="86"/>
      <c r="AH100" s="86"/>
    </row>
    <row r="101" spans="3:34" x14ac:dyDescent="0.2">
      <c r="C101" t="s">
        <v>93</v>
      </c>
      <c r="D101" s="225">
        <f t="shared" si="14"/>
        <v>231627.31400000001</v>
      </c>
      <c r="G101" s="560" t="str">
        <f t="shared" si="10"/>
        <v/>
      </c>
      <c r="H101" t="str">
        <f t="shared" si="11"/>
        <v/>
      </c>
      <c r="I101" t="str">
        <f t="shared" si="12"/>
        <v/>
      </c>
      <c r="J101" t="str">
        <f t="shared" si="13"/>
        <v>Espanola</v>
      </c>
      <c r="L101" s="194"/>
      <c r="N101" s="312"/>
      <c r="Q101" s="173"/>
      <c r="AB101" t="s">
        <v>216</v>
      </c>
      <c r="AC101" s="48">
        <v>12765699</v>
      </c>
      <c r="AE101" t="s">
        <v>182</v>
      </c>
      <c r="AF101" s="86">
        <v>3172320</v>
      </c>
      <c r="AG101" s="86"/>
      <c r="AH101" s="86"/>
    </row>
    <row r="102" spans="3:34" x14ac:dyDescent="0.2">
      <c r="C102" t="s">
        <v>208</v>
      </c>
      <c r="D102" s="225">
        <f t="shared" si="14"/>
        <v>28266.210999999999</v>
      </c>
      <c r="G102" s="560" t="str">
        <f t="shared" si="10"/>
        <v/>
      </c>
      <c r="H102" t="str">
        <f t="shared" si="11"/>
        <v/>
      </c>
      <c r="I102" t="str">
        <f t="shared" si="12"/>
        <v>Estancia</v>
      </c>
      <c r="J102" t="str">
        <f t="shared" si="13"/>
        <v/>
      </c>
      <c r="L102" s="194"/>
      <c r="N102" s="312"/>
      <c r="Q102" s="173"/>
      <c r="AB102" s="52" t="s">
        <v>287</v>
      </c>
      <c r="AC102" s="53">
        <v>455725380</v>
      </c>
      <c r="AE102" t="s">
        <v>219</v>
      </c>
      <c r="AF102" s="48">
        <v>3134853</v>
      </c>
      <c r="AG102" s="86"/>
      <c r="AH102" s="86"/>
    </row>
    <row r="103" spans="3:34" x14ac:dyDescent="0.2">
      <c r="C103" t="s">
        <v>188</v>
      </c>
      <c r="D103" s="225">
        <f t="shared" si="14"/>
        <v>45708.243829999999</v>
      </c>
      <c r="G103" s="560"/>
      <c r="H103" t="str">
        <f t="shared" si="11"/>
        <v/>
      </c>
      <c r="I103" t="str">
        <f t="shared" si="12"/>
        <v>Eunice</v>
      </c>
      <c r="J103" t="str">
        <f t="shared" si="13"/>
        <v/>
      </c>
      <c r="L103" s="194"/>
      <c r="N103" s="312"/>
      <c r="Q103" s="173"/>
      <c r="AB103" s="321" t="s">
        <v>59</v>
      </c>
      <c r="AC103" s="48">
        <v>410705547</v>
      </c>
      <c r="AE103" t="s">
        <v>253</v>
      </c>
      <c r="AF103" s="48">
        <v>2863490</v>
      </c>
      <c r="AG103" s="86"/>
      <c r="AH103" s="86"/>
    </row>
    <row r="104" spans="3:34" x14ac:dyDescent="0.2">
      <c r="C104" t="s">
        <v>274</v>
      </c>
      <c r="D104" s="225">
        <f t="shared" si="14"/>
        <v>1471777.2755199999</v>
      </c>
      <c r="G104" s="560" t="str">
        <f t="shared" si="10"/>
        <v/>
      </c>
      <c r="H104" s="321"/>
      <c r="I104" t="str">
        <f t="shared" si="12"/>
        <v/>
      </c>
      <c r="J104" t="str">
        <f t="shared" si="13"/>
        <v>Farmington</v>
      </c>
      <c r="L104" s="194"/>
      <c r="N104" s="312"/>
      <c r="Q104" s="173"/>
      <c r="AB104" s="52" t="s">
        <v>184</v>
      </c>
      <c r="AC104" s="53">
        <v>137828978</v>
      </c>
      <c r="AE104" t="s">
        <v>140</v>
      </c>
      <c r="AF104" s="48">
        <v>2760119</v>
      </c>
      <c r="AG104" s="86"/>
      <c r="AH104" s="86"/>
    </row>
    <row r="105" spans="3:34" x14ac:dyDescent="0.2">
      <c r="C105" t="s">
        <v>189</v>
      </c>
      <c r="D105" s="225">
        <f t="shared" si="14"/>
        <v>1231.1489999999999</v>
      </c>
      <c r="G105" s="560"/>
      <c r="H105" s="321" t="s">
        <v>189</v>
      </c>
      <c r="J105" t="str">
        <f t="shared" si="13"/>
        <v/>
      </c>
      <c r="N105" s="312"/>
      <c r="Q105" s="173"/>
      <c r="AB105" t="s">
        <v>202</v>
      </c>
      <c r="AC105" s="48">
        <v>11125118</v>
      </c>
      <c r="AE105" t="s">
        <v>214</v>
      </c>
      <c r="AF105" s="48">
        <v>2452207</v>
      </c>
      <c r="AG105" s="86"/>
      <c r="AH105" s="86"/>
    </row>
    <row r="106" spans="3:34" x14ac:dyDescent="0.2">
      <c r="C106" t="s">
        <v>258</v>
      </c>
      <c r="D106" s="225">
        <f t="shared" si="14"/>
        <v>1599.482</v>
      </c>
      <c r="G106" s="560" t="str">
        <f t="shared" si="10"/>
        <v/>
      </c>
      <c r="H106" t="str">
        <f t="shared" si="11"/>
        <v>Folsom</v>
      </c>
      <c r="J106" t="str">
        <f t="shared" si="13"/>
        <v/>
      </c>
      <c r="N106" s="312"/>
      <c r="Q106" s="173"/>
      <c r="AB106" s="52" t="s">
        <v>248</v>
      </c>
      <c r="AC106" s="53">
        <v>10394857</v>
      </c>
      <c r="AE106" t="s">
        <v>258</v>
      </c>
      <c r="AF106" s="86">
        <v>1599482</v>
      </c>
      <c r="AG106" s="86"/>
      <c r="AH106" s="86"/>
    </row>
    <row r="107" spans="3:34" x14ac:dyDescent="0.2">
      <c r="C107" t="s">
        <v>272</v>
      </c>
      <c r="D107" s="225">
        <f t="shared" si="14"/>
        <v>16391.710999999999</v>
      </c>
      <c r="G107" s="560" t="str">
        <f t="shared" si="10"/>
        <v/>
      </c>
      <c r="I107" t="str">
        <f t="shared" si="12"/>
        <v>Fort Sumner</v>
      </c>
      <c r="J107" t="str">
        <f t="shared" si="13"/>
        <v/>
      </c>
      <c r="N107" s="312"/>
      <c r="Q107" s="173"/>
      <c r="AB107" t="s">
        <v>86</v>
      </c>
      <c r="AC107" s="48">
        <v>25222005</v>
      </c>
      <c r="AE107" t="s">
        <v>78</v>
      </c>
      <c r="AF107" s="48">
        <v>1413724</v>
      </c>
      <c r="AG107" s="86"/>
      <c r="AH107" s="86"/>
    </row>
    <row r="108" spans="3:34" x14ac:dyDescent="0.2">
      <c r="C108" t="s">
        <v>276</v>
      </c>
      <c r="D108" s="225">
        <f t="shared" si="14"/>
        <v>396610.30599999998</v>
      </c>
      <c r="G108" s="560" t="str">
        <f t="shared" si="10"/>
        <v/>
      </c>
      <c r="I108" t="str">
        <f t="shared" si="12"/>
        <v/>
      </c>
      <c r="J108" t="str">
        <f t="shared" si="13"/>
        <v>Gallup</v>
      </c>
      <c r="N108" s="312"/>
      <c r="Q108" s="173"/>
      <c r="AB108" s="52" t="s">
        <v>553</v>
      </c>
      <c r="AC108" s="53">
        <v>123503930</v>
      </c>
      <c r="AE108" t="s">
        <v>199</v>
      </c>
      <c r="AF108" s="86">
        <v>1395069</v>
      </c>
      <c r="AG108" s="86"/>
      <c r="AH108" s="86"/>
    </row>
    <row r="109" spans="3:34" x14ac:dyDescent="0.2">
      <c r="C109" t="s">
        <v>255</v>
      </c>
      <c r="D109" s="225">
        <f t="shared" si="14"/>
        <v>799.14</v>
      </c>
      <c r="G109" s="560" t="str">
        <f t="shared" si="10"/>
        <v>Grady</v>
      </c>
      <c r="J109" t="str">
        <f t="shared" si="13"/>
        <v/>
      </c>
      <c r="N109" s="312"/>
      <c r="Q109" s="173"/>
      <c r="AB109" t="s">
        <v>99</v>
      </c>
      <c r="AC109" s="48">
        <v>88897949</v>
      </c>
      <c r="AE109" t="s">
        <v>193</v>
      </c>
      <c r="AF109" s="86">
        <v>1377002</v>
      </c>
      <c r="AG109" s="86"/>
      <c r="AH109" s="86"/>
    </row>
    <row r="110" spans="3:34" x14ac:dyDescent="0.2">
      <c r="C110" t="s">
        <v>179</v>
      </c>
      <c r="D110" s="225">
        <f t="shared" si="14"/>
        <v>162912.65599999999</v>
      </c>
      <c r="G110" s="560" t="str">
        <f t="shared" si="10"/>
        <v/>
      </c>
      <c r="I110" t="str">
        <f t="shared" si="12"/>
        <v/>
      </c>
      <c r="J110" t="str">
        <f t="shared" si="13"/>
        <v>Grants</v>
      </c>
      <c r="N110" s="312"/>
      <c r="Q110" s="173"/>
      <c r="AB110" s="52" t="s">
        <v>308</v>
      </c>
      <c r="AC110" s="53">
        <v>43639025</v>
      </c>
      <c r="AE110" t="s">
        <v>167</v>
      </c>
      <c r="AF110" s="86">
        <v>1344484</v>
      </c>
      <c r="AG110" s="86"/>
      <c r="AH110" s="86"/>
    </row>
    <row r="111" spans="3:34" x14ac:dyDescent="0.2">
      <c r="C111" t="s">
        <v>261</v>
      </c>
      <c r="D111" s="225">
        <f t="shared" si="14"/>
        <v>941.76300000000003</v>
      </c>
      <c r="G111" s="560" t="str">
        <f t="shared" si="10"/>
        <v>Grenville</v>
      </c>
      <c r="J111" t="str">
        <f t="shared" si="13"/>
        <v/>
      </c>
      <c r="N111" s="312"/>
      <c r="Q111" s="173"/>
      <c r="AB111" t="s">
        <v>133</v>
      </c>
      <c r="AC111" s="48">
        <v>10747283</v>
      </c>
      <c r="AE111" t="s">
        <v>146</v>
      </c>
      <c r="AF111" s="86">
        <v>1323647</v>
      </c>
      <c r="AG111" s="86"/>
      <c r="AH111" s="86"/>
    </row>
    <row r="112" spans="3:34" x14ac:dyDescent="0.2">
      <c r="C112" t="s">
        <v>144</v>
      </c>
      <c r="D112" s="225">
        <f t="shared" si="14"/>
        <v>12773.031000000001</v>
      </c>
      <c r="G112" s="560" t="str">
        <f t="shared" si="10"/>
        <v/>
      </c>
      <c r="H112" t="s">
        <v>144</v>
      </c>
      <c r="J112" t="str">
        <f t="shared" si="13"/>
        <v/>
      </c>
      <c r="N112" s="312"/>
      <c r="Q112" s="173"/>
      <c r="AB112" s="52" t="s">
        <v>167</v>
      </c>
      <c r="AC112" s="53">
        <v>1344484</v>
      </c>
      <c r="AE112" t="s">
        <v>189</v>
      </c>
      <c r="AF112" s="86">
        <v>1231149</v>
      </c>
      <c r="AG112" s="86"/>
      <c r="AH112" s="86"/>
    </row>
    <row r="113" spans="3:34" x14ac:dyDescent="0.2">
      <c r="C113" t="s">
        <v>290</v>
      </c>
      <c r="D113" s="225">
        <f t="shared" si="14"/>
        <v>24677.375</v>
      </c>
      <c r="G113" s="560" t="str">
        <f t="shared" si="10"/>
        <v/>
      </c>
      <c r="H113" t="str">
        <f t="shared" si="11"/>
        <v/>
      </c>
      <c r="I113" t="str">
        <f t="shared" si="12"/>
        <v>Hatch</v>
      </c>
      <c r="J113" t="str">
        <f t="shared" si="13"/>
        <v/>
      </c>
      <c r="N113" s="312"/>
      <c r="Q113" s="173"/>
      <c r="AB113" t="s">
        <v>289</v>
      </c>
      <c r="AC113" s="48">
        <v>6953867</v>
      </c>
      <c r="AE113" t="s">
        <v>105</v>
      </c>
      <c r="AF113" s="86">
        <v>1149026</v>
      </c>
      <c r="AG113" s="86"/>
      <c r="AH113" s="86"/>
    </row>
    <row r="114" spans="3:34" x14ac:dyDescent="0.2">
      <c r="C114" t="s">
        <v>191</v>
      </c>
      <c r="D114" s="225">
        <f t="shared" si="14"/>
        <v>971594.73141999997</v>
      </c>
      <c r="G114" s="560" t="str">
        <f t="shared" si="10"/>
        <v/>
      </c>
      <c r="H114" t="str">
        <f t="shared" si="11"/>
        <v/>
      </c>
      <c r="I114" t="str">
        <f t="shared" si="12"/>
        <v/>
      </c>
      <c r="J114" t="str">
        <f t="shared" si="13"/>
        <v>Hobbs</v>
      </c>
      <c r="N114" s="312"/>
      <c r="Q114" s="173"/>
      <c r="AB114" s="52" t="s">
        <v>214</v>
      </c>
      <c r="AC114" s="53">
        <v>2452207</v>
      </c>
      <c r="AE114" t="s">
        <v>261</v>
      </c>
      <c r="AF114" s="86">
        <v>941763</v>
      </c>
      <c r="AG114" s="86"/>
      <c r="AH114" s="86"/>
    </row>
    <row r="115" spans="3:34" ht="13.5" thickBot="1" x14ac:dyDescent="0.25">
      <c r="C115" t="s">
        <v>78</v>
      </c>
      <c r="D115" s="225">
        <f t="shared" si="14"/>
        <v>1413.7239999999999</v>
      </c>
      <c r="G115" s="560" t="str">
        <f t="shared" si="10"/>
        <v/>
      </c>
      <c r="H115" t="str">
        <f t="shared" si="11"/>
        <v>Hope</v>
      </c>
      <c r="J115" t="str">
        <f t="shared" si="13"/>
        <v/>
      </c>
      <c r="M115" s="74"/>
      <c r="N115" s="312"/>
      <c r="AB115" s="377" t="s">
        <v>130</v>
      </c>
      <c r="AC115" s="375">
        <v>6618394</v>
      </c>
      <c r="AE115" t="s">
        <v>255</v>
      </c>
      <c r="AF115" s="48">
        <v>799140</v>
      </c>
    </row>
    <row r="116" spans="3:34" x14ac:dyDescent="0.2">
      <c r="C116" t="s">
        <v>105</v>
      </c>
      <c r="D116" s="225">
        <f t="shared" si="14"/>
        <v>1149.0260000000001</v>
      </c>
      <c r="G116" s="560"/>
      <c r="H116" t="str">
        <f t="shared" si="11"/>
        <v>House</v>
      </c>
      <c r="J116" t="str">
        <f t="shared" si="13"/>
        <v/>
      </c>
      <c r="N116" s="312"/>
      <c r="AB116" s="52" t="s">
        <v>0</v>
      </c>
      <c r="AC116" s="53">
        <f>'Table 20 part 2'!D61</f>
        <v>48533261486.039993</v>
      </c>
      <c r="AE116" s="52" t="s">
        <v>0</v>
      </c>
      <c r="AF116" s="378">
        <f>SUM(AF10:AF115)</f>
        <v>48533261486.040001</v>
      </c>
      <c r="AG116" s="318" t="str">
        <f>IF(AF116=AC116,"OK","Error")</f>
        <v>OK</v>
      </c>
    </row>
    <row r="117" spans="3:34" x14ac:dyDescent="0.2">
      <c r="C117" t="s">
        <v>103</v>
      </c>
      <c r="D117" s="225">
        <f t="shared" si="14"/>
        <v>14620.418</v>
      </c>
      <c r="G117" s="560" t="str">
        <f t="shared" si="10"/>
        <v/>
      </c>
      <c r="H117" t="str">
        <f t="shared" ref="H117" si="15">IF($D117&lt;10999,$C117,"")</f>
        <v/>
      </c>
      <c r="I117" t="str">
        <f t="shared" ref="I117" si="16">IF($D117&lt;100999,$C117,"")</f>
        <v>Hurley</v>
      </c>
      <c r="J117" t="str">
        <f t="shared" si="13"/>
        <v/>
      </c>
      <c r="N117" s="173"/>
    </row>
    <row r="118" spans="3:34" x14ac:dyDescent="0.2">
      <c r="C118" t="s">
        <v>197</v>
      </c>
      <c r="D118" s="225">
        <f t="shared" si="14"/>
        <v>35384.975359999997</v>
      </c>
      <c r="G118" s="560" t="str">
        <f t="shared" si="10"/>
        <v/>
      </c>
      <c r="H118" t="str">
        <f t="shared" si="11"/>
        <v/>
      </c>
      <c r="I118" t="str">
        <f t="shared" si="12"/>
        <v>Jal</v>
      </c>
      <c r="J118" t="str">
        <f t="shared" si="13"/>
        <v/>
      </c>
    </row>
    <row r="119" spans="3:34" x14ac:dyDescent="0.2">
      <c r="C119" t="s">
        <v>238</v>
      </c>
      <c r="D119" s="225">
        <f t="shared" si="14"/>
        <v>15624.142</v>
      </c>
      <c r="G119" s="560" t="str">
        <f t="shared" si="10"/>
        <v/>
      </c>
      <c r="H119" t="str">
        <f t="shared" si="11"/>
        <v/>
      </c>
      <c r="I119" t="str">
        <f t="shared" si="12"/>
        <v>Jemez Springs</v>
      </c>
      <c r="J119" t="str">
        <f t="shared" si="13"/>
        <v/>
      </c>
    </row>
    <row r="120" spans="3:34" x14ac:dyDescent="0.2">
      <c r="C120" t="s">
        <v>526</v>
      </c>
      <c r="D120" s="225">
        <f t="shared" si="14"/>
        <v>30546.669000000002</v>
      </c>
      <c r="G120" s="560" t="str">
        <f>IF(D120&lt;999,C120,"")</f>
        <v/>
      </c>
      <c r="H120" t="str">
        <f t="shared" si="11"/>
        <v/>
      </c>
      <c r="I120" t="str">
        <f t="shared" si="12"/>
        <v>Kirtland</v>
      </c>
    </row>
    <row r="121" spans="3:34" ht="13.5" thickBot="1" x14ac:dyDescent="0.25">
      <c r="C121" s="23" t="s">
        <v>153</v>
      </c>
      <c r="D121" s="374">
        <f t="shared" si="14"/>
        <v>3729.7460000000001</v>
      </c>
      <c r="G121" s="572" t="str">
        <f t="shared" si="10"/>
        <v/>
      </c>
      <c r="H121" s="112" t="str">
        <f t="shared" si="11"/>
        <v>Lake Arthur</v>
      </c>
      <c r="I121" s="112"/>
      <c r="J121" s="112" t="str">
        <f t="shared" si="13"/>
        <v/>
      </c>
      <c r="K121" s="112"/>
    </row>
    <row r="122" spans="3:34" x14ac:dyDescent="0.2">
      <c r="D122" s="225">
        <f>SUM(D68:D121)</f>
        <v>28086873.912039999</v>
      </c>
      <c r="F122" t="s">
        <v>454</v>
      </c>
      <c r="G122" s="590">
        <f>$D$123-COUNTBLANK(G68:G121)</f>
        <v>2</v>
      </c>
      <c r="H122" s="137">
        <f t="shared" ref="H122:J122" si="17">$D$123-COUNTBLANK(H68:H121)</f>
        <v>12</v>
      </c>
      <c r="I122" s="137">
        <f t="shared" si="17"/>
        <v>21</v>
      </c>
      <c r="J122" s="137">
        <f t="shared" si="17"/>
        <v>19</v>
      </c>
      <c r="K122" s="425">
        <f>SUM(G122:J122)</f>
        <v>54</v>
      </c>
    </row>
    <row r="123" spans="3:34" x14ac:dyDescent="0.2">
      <c r="C123" s="372" t="s">
        <v>510</v>
      </c>
      <c r="D123" s="373">
        <f>COUNT(D68:D121)</f>
        <v>54</v>
      </c>
      <c r="K123" s="318" t="str">
        <f>IF(D123=K122,"OK","Error")</f>
        <v>OK</v>
      </c>
    </row>
  </sheetData>
  <sortState xmlns:xlrd2="http://schemas.microsoft.com/office/spreadsheetml/2017/richdata2" ref="AE10:AF115">
    <sortCondition descending="1" ref="AF10:AF115"/>
  </sortState>
  <mergeCells count="2">
    <mergeCell ref="C65:J65"/>
    <mergeCell ref="AB5:AF5"/>
  </mergeCells>
  <phoneticPr fontId="38" type="noConversion"/>
  <printOptions horizontalCentered="1" verticalCentered="1"/>
  <pageMargins left="0.5" right="0.5" top="0.5" bottom="0.5" header="0" footer="0"/>
  <pageSetup scale="76" fitToHeight="0" orientation="portrait" r:id="rId1"/>
  <headerFooter alignWithMargins="0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50"/>
    <pageSetUpPr fitToPage="1"/>
  </sheetPr>
  <dimension ref="B1:AL122"/>
  <sheetViews>
    <sheetView showZeros="0" zoomScaleNormal="100" zoomScaleSheetLayoutView="100" workbookViewId="0">
      <selection activeCell="C4" sqref="C4"/>
    </sheetView>
  </sheetViews>
  <sheetFormatPr defaultRowHeight="12.75" x14ac:dyDescent="0.2"/>
  <cols>
    <col min="3" max="3" width="20.7109375" customWidth="1"/>
    <col min="4" max="4" width="16" bestFit="1" customWidth="1"/>
    <col min="5" max="5" width="17.42578125" bestFit="1" customWidth="1"/>
    <col min="6" max="6" width="16.7109375" bestFit="1" customWidth="1"/>
    <col min="7" max="7" width="18.42578125" bestFit="1" customWidth="1"/>
    <col min="8" max="8" width="16.7109375" bestFit="1" customWidth="1"/>
    <col min="9" max="9" width="16" bestFit="1" customWidth="1"/>
    <col min="10" max="10" width="13.140625" bestFit="1" customWidth="1"/>
    <col min="12" max="12" width="0" hidden="1" customWidth="1"/>
    <col min="13" max="13" width="12.5703125" hidden="1" customWidth="1"/>
    <col min="14" max="14" width="17.28515625" hidden="1" customWidth="1"/>
    <col min="15" max="16" width="14.5703125" hidden="1" customWidth="1"/>
    <col min="17" max="17" width="0" hidden="1" customWidth="1"/>
    <col min="18" max="18" width="11.5703125" hidden="1" customWidth="1"/>
    <col min="19" max="19" width="16.42578125" hidden="1" customWidth="1"/>
    <col min="20" max="21" width="0" hidden="1" customWidth="1"/>
    <col min="22" max="22" width="18.42578125" hidden="1" customWidth="1"/>
    <col min="23" max="23" width="16.28515625" hidden="1" customWidth="1"/>
    <col min="24" max="24" width="15.42578125" hidden="1" customWidth="1"/>
    <col min="25" max="26" width="0" hidden="1" customWidth="1"/>
    <col min="27" max="27" width="15.7109375" customWidth="1"/>
    <col min="28" max="28" width="14.7109375" customWidth="1"/>
    <col min="29" max="29" width="9.42578125" customWidth="1"/>
    <col min="34" max="34" width="14.7109375" bestFit="1" customWidth="1"/>
    <col min="38" max="38" width="11.140625" bestFit="1" customWidth="1"/>
  </cols>
  <sheetData>
    <row r="1" spans="2:24" ht="15.75" x14ac:dyDescent="0.25">
      <c r="C1" s="1" t="s">
        <v>438</v>
      </c>
    </row>
    <row r="2" spans="2:24" ht="15.75" x14ac:dyDescent="0.25">
      <c r="C2" s="3" t="s">
        <v>491</v>
      </c>
      <c r="F2" s="3" t="str">
        <f>'table 1 &amp; 2'!C2</f>
        <v>2025 Tax Year</v>
      </c>
    </row>
    <row r="4" spans="2:24" ht="16.5" x14ac:dyDescent="0.25">
      <c r="B4" s="76"/>
      <c r="C4" s="76" t="s">
        <v>328</v>
      </c>
    </row>
    <row r="5" spans="2:24" ht="16.5" x14ac:dyDescent="0.25">
      <c r="C5" s="76" t="s">
        <v>511</v>
      </c>
      <c r="D5" s="7"/>
      <c r="E5" s="6"/>
      <c r="F5" s="6"/>
      <c r="G5" s="76" t="str">
        <f>F2</f>
        <v>2025 Tax Year</v>
      </c>
      <c r="H5" s="6"/>
      <c r="I5" s="6"/>
      <c r="J5" s="6"/>
    </row>
    <row r="6" spans="2:24" ht="15" x14ac:dyDescent="0.25">
      <c r="C6" s="73"/>
      <c r="D6" s="7"/>
      <c r="E6" s="6"/>
      <c r="F6" s="6"/>
      <c r="G6" s="6"/>
      <c r="H6" s="6"/>
      <c r="I6" s="6"/>
      <c r="J6" s="6"/>
      <c r="R6" s="52" t="s">
        <v>76</v>
      </c>
      <c r="S6" s="89">
        <v>8542549448</v>
      </c>
    </row>
    <row r="7" spans="2:24" x14ac:dyDescent="0.2">
      <c r="C7" s="6"/>
      <c r="D7" s="6"/>
      <c r="E7" s="22" t="s">
        <v>9</v>
      </c>
      <c r="F7" s="21" t="s">
        <v>28</v>
      </c>
      <c r="G7" s="21"/>
      <c r="H7" s="81" t="s">
        <v>378</v>
      </c>
      <c r="I7" s="6"/>
      <c r="J7" s="6"/>
      <c r="R7" t="s">
        <v>56</v>
      </c>
      <c r="S7" s="86">
        <v>2534474103</v>
      </c>
    </row>
    <row r="8" spans="2:24" ht="13.5" thickBot="1" x14ac:dyDescent="0.25">
      <c r="C8" s="23" t="s">
        <v>75</v>
      </c>
      <c r="D8" s="67" t="s">
        <v>63</v>
      </c>
      <c r="E8" s="25" t="s">
        <v>333</v>
      </c>
      <c r="F8" s="24" t="s">
        <v>333</v>
      </c>
      <c r="G8" s="67" t="s">
        <v>29</v>
      </c>
      <c r="H8" s="25" t="s">
        <v>30</v>
      </c>
      <c r="I8" s="24" t="s">
        <v>10</v>
      </c>
      <c r="J8" s="67" t="s">
        <v>29</v>
      </c>
      <c r="M8" t="s">
        <v>303</v>
      </c>
      <c r="N8" s="48">
        <v>428554974</v>
      </c>
      <c r="O8" s="85">
        <v>310152780</v>
      </c>
      <c r="P8" s="86">
        <v>118402194</v>
      </c>
      <c r="R8" t="s">
        <v>95</v>
      </c>
      <c r="S8" s="85">
        <v>1626691648</v>
      </c>
      <c r="U8" t="s">
        <v>303</v>
      </c>
      <c r="V8" s="48">
        <v>428554974</v>
      </c>
      <c r="W8" s="85">
        <v>310152780</v>
      </c>
      <c r="X8" s="86">
        <v>118402194</v>
      </c>
    </row>
    <row r="9" spans="2:24" x14ac:dyDescent="0.2">
      <c r="C9" t="s">
        <v>279</v>
      </c>
      <c r="D9" s="48">
        <f>G9+J9</f>
        <v>3426663637</v>
      </c>
      <c r="E9" s="85">
        <v>2555064695</v>
      </c>
      <c r="F9" s="86">
        <v>871598942</v>
      </c>
      <c r="G9" s="376">
        <f>SUM(E9:F9)</f>
        <v>3426663637</v>
      </c>
      <c r="H9" s="87"/>
      <c r="I9" s="78"/>
      <c r="J9" s="78">
        <v>0</v>
      </c>
      <c r="M9" s="52" t="s">
        <v>76</v>
      </c>
      <c r="N9" s="53">
        <v>11858931422</v>
      </c>
      <c r="O9" s="88">
        <v>8542549448</v>
      </c>
      <c r="P9" s="89">
        <v>3316381974</v>
      </c>
      <c r="R9" t="s">
        <v>279</v>
      </c>
      <c r="S9" s="85">
        <v>1302198215</v>
      </c>
      <c r="U9" s="52" t="s">
        <v>76</v>
      </c>
      <c r="V9" s="53">
        <v>11858931422</v>
      </c>
      <c r="W9" s="88">
        <v>8542549448</v>
      </c>
      <c r="X9" s="89">
        <v>3316381974</v>
      </c>
    </row>
    <row r="10" spans="2:24" x14ac:dyDescent="0.2">
      <c r="C10" s="52" t="s">
        <v>297</v>
      </c>
      <c r="D10" s="53">
        <f t="shared" ref="D10:D59" si="0">G10+J10</f>
        <v>262409983</v>
      </c>
      <c r="E10" s="88">
        <v>173301971</v>
      </c>
      <c r="F10" s="89">
        <v>89108012</v>
      </c>
      <c r="G10" s="89">
        <f t="shared" ref="G10:G59" si="1">SUM(E10:F10)</f>
        <v>262409983</v>
      </c>
      <c r="H10" s="90"/>
      <c r="I10" s="80"/>
      <c r="J10" s="80">
        <v>0</v>
      </c>
      <c r="M10" t="s">
        <v>206</v>
      </c>
      <c r="N10" s="48">
        <v>262965910</v>
      </c>
      <c r="O10" s="85">
        <v>180539794</v>
      </c>
      <c r="P10" s="86">
        <v>82426116</v>
      </c>
      <c r="R10" t="s">
        <v>45</v>
      </c>
      <c r="S10" s="85">
        <v>613670270</v>
      </c>
      <c r="U10" t="s">
        <v>206</v>
      </c>
      <c r="V10" s="48">
        <v>262965910</v>
      </c>
      <c r="W10" s="85">
        <v>180539794</v>
      </c>
      <c r="X10" s="86">
        <v>82426116</v>
      </c>
    </row>
    <row r="11" spans="2:24" x14ac:dyDescent="0.2">
      <c r="C11" t="s">
        <v>111</v>
      </c>
      <c r="D11" s="48">
        <f t="shared" si="0"/>
        <v>43775651</v>
      </c>
      <c r="E11" s="85">
        <v>31407810</v>
      </c>
      <c r="F11" s="86">
        <v>12367841</v>
      </c>
      <c r="G11" s="86">
        <f t="shared" si="1"/>
        <v>43775651</v>
      </c>
      <c r="H11" s="87"/>
      <c r="I11" s="78"/>
      <c r="J11" s="78">
        <v>0</v>
      </c>
      <c r="M11" s="52" t="s">
        <v>310</v>
      </c>
      <c r="N11" s="53">
        <v>230706374.53</v>
      </c>
      <c r="O11" s="88">
        <v>85637032</v>
      </c>
      <c r="P11" s="89">
        <v>144764613</v>
      </c>
      <c r="R11" s="52" t="s">
        <v>274</v>
      </c>
      <c r="S11" s="88">
        <v>587430896</v>
      </c>
      <c r="U11" s="52" t="s">
        <v>310</v>
      </c>
      <c r="V11" s="53">
        <v>230706374.53</v>
      </c>
      <c r="W11" s="88">
        <v>85637032</v>
      </c>
      <c r="X11" s="89">
        <v>144764613</v>
      </c>
    </row>
    <row r="12" spans="2:24" x14ac:dyDescent="0.2">
      <c r="C12" s="52" t="s">
        <v>165</v>
      </c>
      <c r="D12" s="53">
        <f t="shared" si="0"/>
        <v>43439420</v>
      </c>
      <c r="E12" s="88">
        <v>12927279</v>
      </c>
      <c r="F12" s="89">
        <v>30512141</v>
      </c>
      <c r="G12" s="89">
        <f t="shared" si="1"/>
        <v>43439420</v>
      </c>
      <c r="H12" s="90"/>
      <c r="I12" s="80"/>
      <c r="J12" s="80">
        <v>0</v>
      </c>
      <c r="M12" t="s">
        <v>270</v>
      </c>
      <c r="N12" s="48">
        <v>106733148.15000001</v>
      </c>
      <c r="O12" s="85">
        <v>68396249</v>
      </c>
      <c r="P12" s="86">
        <v>33286746</v>
      </c>
      <c r="R12" s="52" t="s">
        <v>138</v>
      </c>
      <c r="S12" s="88">
        <v>370383355</v>
      </c>
      <c r="U12" t="s">
        <v>270</v>
      </c>
      <c r="V12" s="48">
        <v>106733148.15000001</v>
      </c>
      <c r="W12" s="85">
        <v>68396249</v>
      </c>
      <c r="X12" s="86">
        <v>33286746</v>
      </c>
    </row>
    <row r="13" spans="2:24" x14ac:dyDescent="0.2">
      <c r="C13" t="s">
        <v>45</v>
      </c>
      <c r="D13" s="48">
        <f t="shared" si="0"/>
        <v>1105538877</v>
      </c>
      <c r="E13" s="85">
        <v>978207900</v>
      </c>
      <c r="F13" s="86">
        <v>127330977</v>
      </c>
      <c r="G13" s="86">
        <f t="shared" si="1"/>
        <v>1105538877</v>
      </c>
      <c r="H13" s="87"/>
      <c r="I13" s="78"/>
      <c r="J13" s="78">
        <v>0</v>
      </c>
      <c r="M13" s="52" t="s">
        <v>109</v>
      </c>
      <c r="N13" s="53">
        <v>17256816</v>
      </c>
      <c r="O13" s="88">
        <v>13528257</v>
      </c>
      <c r="P13" s="89">
        <v>3728559</v>
      </c>
      <c r="R13" s="52" t="s">
        <v>226</v>
      </c>
      <c r="S13" s="88">
        <v>340357853</v>
      </c>
      <c r="U13" s="52" t="s">
        <v>109</v>
      </c>
      <c r="V13" s="53">
        <v>17256816</v>
      </c>
      <c r="W13" s="88">
        <v>13528257</v>
      </c>
      <c r="X13" s="89">
        <v>3728559</v>
      </c>
    </row>
    <row r="14" spans="2:24" x14ac:dyDescent="0.2">
      <c r="C14" s="52" t="s">
        <v>275</v>
      </c>
      <c r="D14" s="53">
        <f t="shared" si="0"/>
        <v>743294398</v>
      </c>
      <c r="E14" s="88">
        <v>496829658</v>
      </c>
      <c r="F14" s="89">
        <v>246464740</v>
      </c>
      <c r="G14" s="89">
        <f t="shared" si="1"/>
        <v>743294398</v>
      </c>
      <c r="H14" s="90"/>
      <c r="I14" s="80"/>
      <c r="J14" s="80">
        <v>0</v>
      </c>
      <c r="M14" t="s">
        <v>281</v>
      </c>
      <c r="N14" s="48">
        <v>103808145</v>
      </c>
      <c r="O14" s="85">
        <v>60190633</v>
      </c>
      <c r="P14" s="86">
        <v>43617512</v>
      </c>
      <c r="R14" s="52" t="s">
        <v>90</v>
      </c>
      <c r="S14" s="88">
        <v>313503887</v>
      </c>
      <c r="U14" t="s">
        <v>281</v>
      </c>
      <c r="V14" s="48">
        <v>103808145</v>
      </c>
      <c r="W14" s="85">
        <v>60190633</v>
      </c>
      <c r="X14" s="86">
        <v>43617512</v>
      </c>
    </row>
    <row r="15" spans="2:24" x14ac:dyDescent="0.2">
      <c r="C15" t="s">
        <v>82</v>
      </c>
      <c r="D15" s="48">
        <f t="shared" si="0"/>
        <v>366225251</v>
      </c>
      <c r="E15" s="85">
        <v>327503671</v>
      </c>
      <c r="F15" s="86">
        <v>38721580</v>
      </c>
      <c r="G15" s="86">
        <f t="shared" si="1"/>
        <v>366225251</v>
      </c>
      <c r="H15" s="87"/>
      <c r="I15" s="78"/>
      <c r="J15" s="78">
        <v>0</v>
      </c>
      <c r="M15" s="52" t="s">
        <v>31</v>
      </c>
      <c r="N15" s="53">
        <v>170546103</v>
      </c>
      <c r="O15" s="88">
        <v>103213001</v>
      </c>
      <c r="P15" s="89">
        <v>67333102</v>
      </c>
      <c r="R15" t="s">
        <v>303</v>
      </c>
      <c r="S15" s="85">
        <v>310152780</v>
      </c>
      <c r="U15" s="52" t="s">
        <v>31</v>
      </c>
      <c r="V15" s="53">
        <v>170546103</v>
      </c>
      <c r="W15" s="88">
        <v>103213001</v>
      </c>
      <c r="X15" s="89">
        <v>67333102</v>
      </c>
    </row>
    <row r="16" spans="2:24" x14ac:dyDescent="0.2">
      <c r="C16" s="52" t="s">
        <v>306</v>
      </c>
      <c r="D16" s="53">
        <f t="shared" si="0"/>
        <v>19663060</v>
      </c>
      <c r="E16" s="88">
        <v>11877502</v>
      </c>
      <c r="F16" s="89">
        <v>7785558</v>
      </c>
      <c r="G16" s="89">
        <f t="shared" si="1"/>
        <v>19663060</v>
      </c>
      <c r="H16" s="90"/>
      <c r="I16" s="80"/>
      <c r="J16" s="80">
        <v>0</v>
      </c>
      <c r="M16" t="s">
        <v>277</v>
      </c>
      <c r="N16" s="48">
        <v>103447058.67</v>
      </c>
      <c r="O16" s="85">
        <v>60718988</v>
      </c>
      <c r="P16" s="86">
        <v>41214694</v>
      </c>
      <c r="R16" t="s">
        <v>244</v>
      </c>
      <c r="S16" s="85">
        <v>299381648</v>
      </c>
      <c r="U16" t="s">
        <v>277</v>
      </c>
      <c r="V16" s="48">
        <v>103447058.67</v>
      </c>
      <c r="W16" s="85">
        <v>60718988</v>
      </c>
      <c r="X16" s="86">
        <v>41214694</v>
      </c>
    </row>
    <row r="17" spans="3:24" x14ac:dyDescent="0.2">
      <c r="C17" t="s">
        <v>181</v>
      </c>
      <c r="D17" s="48">
        <f t="shared" si="0"/>
        <v>149354847</v>
      </c>
      <c r="E17" s="85">
        <v>105144414</v>
      </c>
      <c r="F17" s="86">
        <v>44210433</v>
      </c>
      <c r="G17" s="86">
        <f t="shared" si="1"/>
        <v>149354847</v>
      </c>
      <c r="H17" s="87"/>
      <c r="I17" s="78"/>
      <c r="J17" s="78">
        <v>0</v>
      </c>
      <c r="M17" s="52" t="s">
        <v>278</v>
      </c>
      <c r="N17" s="53">
        <v>76197138</v>
      </c>
      <c r="O17" s="88">
        <v>62116034</v>
      </c>
      <c r="P17" s="89">
        <v>14081104</v>
      </c>
      <c r="R17" s="52" t="s">
        <v>275</v>
      </c>
      <c r="S17" s="88">
        <v>215132265</v>
      </c>
      <c r="U17" s="52" t="s">
        <v>278</v>
      </c>
      <c r="V17" s="53">
        <v>76197138</v>
      </c>
      <c r="W17" s="88">
        <v>62116034</v>
      </c>
      <c r="X17" s="89">
        <v>14081104</v>
      </c>
    </row>
    <row r="18" spans="3:24" x14ac:dyDescent="0.2">
      <c r="C18" s="52" t="s">
        <v>151</v>
      </c>
      <c r="D18" s="53">
        <f t="shared" si="0"/>
        <v>10030100</v>
      </c>
      <c r="E18" s="88">
        <v>6010296</v>
      </c>
      <c r="F18" s="89">
        <v>4019804</v>
      </c>
      <c r="G18" s="89">
        <f t="shared" si="1"/>
        <v>10030100</v>
      </c>
      <c r="H18" s="90"/>
      <c r="I18" s="80"/>
      <c r="J18" s="80">
        <v>0</v>
      </c>
      <c r="M18" t="s">
        <v>241</v>
      </c>
      <c r="N18" s="48">
        <v>19118986</v>
      </c>
      <c r="O18" s="85">
        <v>14814561</v>
      </c>
      <c r="P18" s="86">
        <v>4304425</v>
      </c>
      <c r="R18" s="52" t="s">
        <v>191</v>
      </c>
      <c r="S18" s="88">
        <v>202352989</v>
      </c>
      <c r="U18" t="s">
        <v>241</v>
      </c>
      <c r="V18" s="48">
        <v>19118986</v>
      </c>
      <c r="W18" s="85">
        <v>14814561</v>
      </c>
      <c r="X18" s="86">
        <v>4304425</v>
      </c>
    </row>
    <row r="19" spans="3:24" x14ac:dyDescent="0.2">
      <c r="C19" t="s">
        <v>219</v>
      </c>
      <c r="D19" s="48">
        <f t="shared" si="0"/>
        <v>3134853</v>
      </c>
      <c r="E19" s="85">
        <v>1888527</v>
      </c>
      <c r="F19" s="86">
        <v>1246326</v>
      </c>
      <c r="G19" s="86">
        <f t="shared" si="1"/>
        <v>3134853</v>
      </c>
      <c r="H19" s="87"/>
      <c r="I19" s="78"/>
      <c r="J19" s="78">
        <v>0</v>
      </c>
      <c r="M19" s="52" t="s">
        <v>301</v>
      </c>
      <c r="N19" s="53">
        <v>325270830.75</v>
      </c>
      <c r="O19" s="88">
        <v>201288132</v>
      </c>
      <c r="P19" s="89">
        <v>112228057</v>
      </c>
      <c r="R19" s="52" t="s">
        <v>301</v>
      </c>
      <c r="S19" s="88">
        <v>201288132</v>
      </c>
      <c r="U19" s="52" t="s">
        <v>301</v>
      </c>
      <c r="V19" s="53">
        <v>325270830.75</v>
      </c>
      <c r="W19" s="88">
        <v>201288132</v>
      </c>
      <c r="X19" s="89">
        <v>112228057</v>
      </c>
    </row>
    <row r="20" spans="3:24" x14ac:dyDescent="0.2">
      <c r="C20" s="52" t="s">
        <v>252</v>
      </c>
      <c r="D20" s="53">
        <f t="shared" si="0"/>
        <v>10778414</v>
      </c>
      <c r="E20" s="88">
        <v>6091263</v>
      </c>
      <c r="F20" s="89">
        <v>4687151</v>
      </c>
      <c r="G20" s="89">
        <f t="shared" si="1"/>
        <v>10778414</v>
      </c>
      <c r="H20" s="90"/>
      <c r="I20" s="80"/>
      <c r="J20" s="80">
        <v>0</v>
      </c>
      <c r="M20" t="s">
        <v>233</v>
      </c>
      <c r="N20" s="48">
        <v>11814211</v>
      </c>
      <c r="O20" s="85">
        <v>6200644</v>
      </c>
      <c r="P20" s="86">
        <v>5613567</v>
      </c>
      <c r="R20" s="52" t="s">
        <v>276</v>
      </c>
      <c r="S20" s="88">
        <v>197141242</v>
      </c>
      <c r="U20" t="s">
        <v>233</v>
      </c>
      <c r="V20" s="48">
        <v>11814211</v>
      </c>
      <c r="W20" s="85">
        <v>6200644</v>
      </c>
      <c r="X20" s="86">
        <v>5613567</v>
      </c>
    </row>
    <row r="21" spans="3:24" x14ac:dyDescent="0.2">
      <c r="C21" t="s">
        <v>282</v>
      </c>
      <c r="D21" s="48">
        <f t="shared" si="0"/>
        <v>86521253</v>
      </c>
      <c r="E21" s="85">
        <v>73170004</v>
      </c>
      <c r="F21" s="86">
        <v>13351249</v>
      </c>
      <c r="G21" s="86">
        <f t="shared" si="1"/>
        <v>86521253</v>
      </c>
      <c r="H21" s="87"/>
      <c r="I21" s="78"/>
      <c r="J21" s="78">
        <v>0</v>
      </c>
      <c r="M21" s="52" t="s">
        <v>193</v>
      </c>
      <c r="N21" s="53">
        <v>694751</v>
      </c>
      <c r="O21" s="88">
        <v>194451</v>
      </c>
      <c r="P21" s="89">
        <v>500300</v>
      </c>
      <c r="R21" t="s">
        <v>82</v>
      </c>
      <c r="S21" s="85">
        <v>194216890</v>
      </c>
      <c r="U21" s="52" t="s">
        <v>193</v>
      </c>
      <c r="V21" s="53">
        <v>694751</v>
      </c>
      <c r="W21" s="88">
        <v>194451</v>
      </c>
      <c r="X21" s="89">
        <v>500300</v>
      </c>
    </row>
    <row r="22" spans="3:24" x14ac:dyDescent="0.2">
      <c r="C22" s="52" t="s">
        <v>186</v>
      </c>
      <c r="D22" s="53">
        <f t="shared" si="0"/>
        <v>49657175</v>
      </c>
      <c r="E22" s="88">
        <v>13924643</v>
      </c>
      <c r="F22" s="89">
        <v>35732532</v>
      </c>
      <c r="G22" s="89">
        <f t="shared" si="1"/>
        <v>49657175</v>
      </c>
      <c r="H22" s="90"/>
      <c r="I22" s="80"/>
      <c r="J22" s="80">
        <v>0</v>
      </c>
      <c r="M22" t="s">
        <v>155</v>
      </c>
      <c r="N22" s="48">
        <v>22987967</v>
      </c>
      <c r="O22" s="85">
        <v>12523241</v>
      </c>
      <c r="P22" s="86">
        <v>10464726</v>
      </c>
      <c r="R22" t="s">
        <v>206</v>
      </c>
      <c r="S22" s="85">
        <v>180539794</v>
      </c>
      <c r="U22" t="s">
        <v>155</v>
      </c>
      <c r="V22" s="48">
        <v>22987967</v>
      </c>
      <c r="W22" s="85">
        <v>12523241</v>
      </c>
      <c r="X22" s="86">
        <v>10464726</v>
      </c>
    </row>
    <row r="23" spans="3:24" x14ac:dyDescent="0.2">
      <c r="C23" t="s">
        <v>218</v>
      </c>
      <c r="D23" s="48">
        <f t="shared" si="0"/>
        <v>61176894</v>
      </c>
      <c r="E23" s="85">
        <v>24732105</v>
      </c>
      <c r="F23" s="86">
        <v>36444789</v>
      </c>
      <c r="G23" s="86">
        <f t="shared" si="1"/>
        <v>61176894</v>
      </c>
      <c r="H23" s="87"/>
      <c r="I23" s="78"/>
      <c r="J23" s="78">
        <v>0</v>
      </c>
      <c r="M23" s="52" t="s">
        <v>201</v>
      </c>
      <c r="N23" s="53">
        <v>10978240</v>
      </c>
      <c r="O23" s="88">
        <v>7814081</v>
      </c>
      <c r="P23" s="89">
        <v>3164159</v>
      </c>
      <c r="R23" s="52" t="s">
        <v>59</v>
      </c>
      <c r="S23" s="88">
        <v>150086720</v>
      </c>
      <c r="U23" s="52" t="s">
        <v>201</v>
      </c>
      <c r="V23" s="53">
        <v>10978240</v>
      </c>
      <c r="W23" s="88">
        <v>7814081</v>
      </c>
      <c r="X23" s="89">
        <v>3164159</v>
      </c>
    </row>
    <row r="24" spans="3:24" x14ac:dyDescent="0.2">
      <c r="C24" s="52" t="s">
        <v>146</v>
      </c>
      <c r="D24" s="53">
        <f t="shared" si="0"/>
        <v>1323647</v>
      </c>
      <c r="E24" s="88">
        <v>665987</v>
      </c>
      <c r="F24" s="89">
        <v>657660</v>
      </c>
      <c r="G24" s="89">
        <f t="shared" si="1"/>
        <v>1323647</v>
      </c>
      <c r="H24" s="90"/>
      <c r="I24" s="80"/>
      <c r="J24" s="80">
        <v>0</v>
      </c>
      <c r="M24" t="s">
        <v>251</v>
      </c>
      <c r="N24" s="48">
        <v>24612945</v>
      </c>
      <c r="O24" s="85">
        <v>14553874</v>
      </c>
      <c r="P24" s="86">
        <v>10059071</v>
      </c>
      <c r="R24" s="52" t="s">
        <v>265</v>
      </c>
      <c r="S24" s="88">
        <v>116204579</v>
      </c>
      <c r="U24" t="s">
        <v>251</v>
      </c>
      <c r="V24" s="48">
        <v>24612945</v>
      </c>
      <c r="W24" s="85">
        <v>14553874</v>
      </c>
      <c r="X24" s="86">
        <v>10059071</v>
      </c>
    </row>
    <row r="25" spans="3:24" x14ac:dyDescent="0.2">
      <c r="C25" t="s">
        <v>223</v>
      </c>
      <c r="D25" s="48">
        <f t="shared" si="0"/>
        <v>13749640</v>
      </c>
      <c r="E25" s="85">
        <v>8807896</v>
      </c>
      <c r="F25" s="86">
        <v>4941744</v>
      </c>
      <c r="G25" s="86">
        <f t="shared" si="1"/>
        <v>13749640</v>
      </c>
      <c r="H25" s="87"/>
      <c r="I25" s="78"/>
      <c r="J25" s="78">
        <v>0</v>
      </c>
      <c r="M25" s="52" t="s">
        <v>311</v>
      </c>
      <c r="N25" s="53">
        <v>40830195</v>
      </c>
      <c r="O25" s="88">
        <v>30118012</v>
      </c>
      <c r="P25" s="89">
        <v>10712183</v>
      </c>
      <c r="R25" t="s">
        <v>97</v>
      </c>
      <c r="S25" s="85">
        <v>114246521</v>
      </c>
      <c r="U25" s="52" t="s">
        <v>311</v>
      </c>
      <c r="V25" s="53">
        <v>40830195</v>
      </c>
      <c r="W25" s="88">
        <v>30118012</v>
      </c>
      <c r="X25" s="89">
        <v>10712183</v>
      </c>
    </row>
    <row r="26" spans="3:24" x14ac:dyDescent="0.2">
      <c r="C26" s="52" t="s">
        <v>304</v>
      </c>
      <c r="D26" s="53">
        <f t="shared" si="0"/>
        <v>28299784</v>
      </c>
      <c r="E26" s="88">
        <v>23478254</v>
      </c>
      <c r="F26" s="89">
        <v>4821530</v>
      </c>
      <c r="G26" s="89">
        <f t="shared" si="1"/>
        <v>28299784</v>
      </c>
      <c r="H26" s="90"/>
      <c r="I26" s="80"/>
      <c r="J26" s="80">
        <v>0</v>
      </c>
      <c r="M26" t="s">
        <v>244</v>
      </c>
      <c r="N26" s="48">
        <v>422518759</v>
      </c>
      <c r="O26" s="85">
        <v>299381648</v>
      </c>
      <c r="P26" s="86">
        <v>123137111</v>
      </c>
      <c r="R26" s="52" t="s">
        <v>297</v>
      </c>
      <c r="S26" s="88">
        <v>111040920</v>
      </c>
      <c r="U26" t="s">
        <v>244</v>
      </c>
      <c r="V26" s="48">
        <v>422518759</v>
      </c>
      <c r="W26" s="85">
        <v>299381648</v>
      </c>
      <c r="X26" s="86">
        <v>123137111</v>
      </c>
    </row>
    <row r="27" spans="3:24" x14ac:dyDescent="0.2">
      <c r="C27" t="s">
        <v>285</v>
      </c>
      <c r="D27" s="48">
        <f t="shared" si="0"/>
        <v>86199429</v>
      </c>
      <c r="E27" s="85">
        <v>77228706</v>
      </c>
      <c r="F27" s="86">
        <v>8970723</v>
      </c>
      <c r="G27" s="86">
        <f t="shared" si="1"/>
        <v>86199429</v>
      </c>
      <c r="H27" s="87"/>
      <c r="I27" s="78"/>
      <c r="J27" s="78">
        <v>0</v>
      </c>
      <c r="M27" s="52" t="s">
        <v>269</v>
      </c>
      <c r="N27" s="53">
        <v>11686928</v>
      </c>
      <c r="O27" s="88">
        <v>7476509</v>
      </c>
      <c r="P27" s="89">
        <v>4210419</v>
      </c>
      <c r="R27" s="52" t="s">
        <v>31</v>
      </c>
      <c r="S27" s="88">
        <v>103213001</v>
      </c>
      <c r="U27" s="52" t="s">
        <v>269</v>
      </c>
      <c r="V27" s="53">
        <v>11686928</v>
      </c>
      <c r="W27" s="88">
        <v>7476509</v>
      </c>
      <c r="X27" s="89">
        <v>4210419</v>
      </c>
    </row>
    <row r="28" spans="3:24" x14ac:dyDescent="0.2">
      <c r="C28" s="52" t="s">
        <v>176</v>
      </c>
      <c r="D28" s="53">
        <f t="shared" si="0"/>
        <v>208860450</v>
      </c>
      <c r="E28" s="88">
        <v>149786642</v>
      </c>
      <c r="F28" s="89">
        <v>59073808</v>
      </c>
      <c r="G28" s="89">
        <f t="shared" si="1"/>
        <v>208860450</v>
      </c>
      <c r="H28" s="90"/>
      <c r="I28" s="80"/>
      <c r="J28" s="80">
        <v>0</v>
      </c>
      <c r="M28" t="s">
        <v>237</v>
      </c>
      <c r="N28" s="48">
        <v>2494034</v>
      </c>
      <c r="O28" s="85">
        <v>1157016</v>
      </c>
      <c r="P28" s="86">
        <v>1337018</v>
      </c>
      <c r="R28" t="s">
        <v>93</v>
      </c>
      <c r="S28" s="85">
        <v>90669497</v>
      </c>
      <c r="U28" t="s">
        <v>237</v>
      </c>
      <c r="V28" s="48">
        <v>2494034</v>
      </c>
      <c r="W28" s="85">
        <v>1157016</v>
      </c>
      <c r="X28" s="86">
        <v>1337018</v>
      </c>
    </row>
    <row r="29" spans="3:24" x14ac:dyDescent="0.2">
      <c r="C29" t="s">
        <v>173</v>
      </c>
      <c r="D29" s="48">
        <f t="shared" si="0"/>
        <v>43509528</v>
      </c>
      <c r="E29" s="85">
        <v>24552123</v>
      </c>
      <c r="F29" s="86">
        <v>18957405</v>
      </c>
      <c r="G29" s="86">
        <f t="shared" si="1"/>
        <v>43509528</v>
      </c>
      <c r="H29" s="87"/>
      <c r="I29" s="78"/>
      <c r="J29" s="78">
        <v>0</v>
      </c>
      <c r="M29" s="52" t="s">
        <v>90</v>
      </c>
      <c r="N29" s="53">
        <v>358678730</v>
      </c>
      <c r="O29" s="88">
        <v>313503887</v>
      </c>
      <c r="P29" s="89">
        <v>45174843</v>
      </c>
      <c r="R29" s="52" t="s">
        <v>310</v>
      </c>
      <c r="S29" s="88">
        <v>85637032</v>
      </c>
      <c r="U29" s="52" t="s">
        <v>90</v>
      </c>
      <c r="V29" s="53">
        <v>358678730</v>
      </c>
      <c r="W29" s="88">
        <v>313503887</v>
      </c>
      <c r="X29" s="89">
        <v>45174843</v>
      </c>
    </row>
    <row r="30" spans="3:24" x14ac:dyDescent="0.2">
      <c r="C30" s="52" t="s">
        <v>210</v>
      </c>
      <c r="D30" s="53">
        <f t="shared" si="0"/>
        <v>109808889</v>
      </c>
      <c r="E30" s="88">
        <v>70929232</v>
      </c>
      <c r="F30" s="89">
        <v>38879657</v>
      </c>
      <c r="G30" s="89">
        <f t="shared" si="1"/>
        <v>109808889</v>
      </c>
      <c r="H30" s="90"/>
      <c r="I30" s="80"/>
      <c r="J30" s="80">
        <v>0</v>
      </c>
      <c r="M30" t="s">
        <v>234</v>
      </c>
      <c r="N30" s="48">
        <v>7560587</v>
      </c>
      <c r="O30" s="85">
        <v>2722635</v>
      </c>
      <c r="P30" s="86">
        <v>4837952</v>
      </c>
      <c r="R30" s="52" t="s">
        <v>287</v>
      </c>
      <c r="S30" s="88">
        <v>73072672</v>
      </c>
      <c r="U30" t="s">
        <v>234</v>
      </c>
      <c r="V30" s="48">
        <v>7560587</v>
      </c>
      <c r="W30" s="85">
        <v>2722635</v>
      </c>
      <c r="X30" s="86">
        <v>4837952</v>
      </c>
    </row>
    <row r="31" spans="3:24" x14ac:dyDescent="0.2">
      <c r="C31" t="s">
        <v>177</v>
      </c>
      <c r="D31" s="48">
        <f t="shared" si="0"/>
        <v>86351004</v>
      </c>
      <c r="E31" s="85">
        <v>44302020</v>
      </c>
      <c r="F31" s="86">
        <v>42048984</v>
      </c>
      <c r="G31" s="86">
        <f t="shared" si="1"/>
        <v>86351004</v>
      </c>
      <c r="H31" s="87"/>
      <c r="I31" s="78"/>
      <c r="J31" s="78">
        <v>0</v>
      </c>
      <c r="M31" s="52" t="s">
        <v>265</v>
      </c>
      <c r="N31" s="53">
        <v>183824725</v>
      </c>
      <c r="O31" s="88">
        <v>116204579</v>
      </c>
      <c r="P31" s="89">
        <v>67620146</v>
      </c>
      <c r="R31" s="52" t="s">
        <v>176</v>
      </c>
      <c r="S31" s="88">
        <v>72046202</v>
      </c>
      <c r="U31" s="52" t="s">
        <v>265</v>
      </c>
      <c r="V31" s="53">
        <v>183824725</v>
      </c>
      <c r="W31" s="88">
        <v>116204579</v>
      </c>
      <c r="X31" s="89">
        <v>67620146</v>
      </c>
    </row>
    <row r="32" spans="3:24" x14ac:dyDescent="0.2">
      <c r="C32" s="52" t="s">
        <v>118</v>
      </c>
      <c r="D32" s="53">
        <f t="shared" si="0"/>
        <v>7970465</v>
      </c>
      <c r="E32" s="88">
        <v>2832574</v>
      </c>
      <c r="F32" s="89">
        <v>5137891</v>
      </c>
      <c r="G32" s="89">
        <f t="shared" si="1"/>
        <v>7970465</v>
      </c>
      <c r="H32" s="90"/>
      <c r="I32" s="80"/>
      <c r="J32" s="80">
        <v>0</v>
      </c>
      <c r="M32" t="s">
        <v>253</v>
      </c>
      <c r="N32" s="48">
        <v>1956789</v>
      </c>
      <c r="O32" s="85">
        <v>702413</v>
      </c>
      <c r="P32" s="86">
        <v>1254376</v>
      </c>
      <c r="R32" t="s">
        <v>270</v>
      </c>
      <c r="S32" s="85">
        <v>68396249</v>
      </c>
      <c r="U32" t="s">
        <v>253</v>
      </c>
      <c r="V32" s="48">
        <v>1956789</v>
      </c>
      <c r="W32" s="85">
        <v>702413</v>
      </c>
      <c r="X32" s="86">
        <v>1254376</v>
      </c>
    </row>
    <row r="33" spans="3:24" x14ac:dyDescent="0.2">
      <c r="C33" t="s">
        <v>459</v>
      </c>
      <c r="D33" s="48">
        <f t="shared" si="0"/>
        <v>110653830</v>
      </c>
      <c r="E33" s="85">
        <v>96575746</v>
      </c>
      <c r="F33" s="86">
        <v>14078084</v>
      </c>
      <c r="G33" s="86">
        <f t="shared" si="1"/>
        <v>110653830</v>
      </c>
      <c r="H33" s="87"/>
      <c r="I33" s="78"/>
      <c r="J33" s="78">
        <v>0</v>
      </c>
      <c r="M33" s="52" t="s">
        <v>148</v>
      </c>
      <c r="N33" s="53">
        <v>7263480</v>
      </c>
      <c r="O33" s="88">
        <v>5395980</v>
      </c>
      <c r="P33" s="89">
        <v>1867500</v>
      </c>
      <c r="R33" s="52" t="s">
        <v>58</v>
      </c>
      <c r="S33" s="88">
        <v>64369373</v>
      </c>
      <c r="U33" s="52" t="s">
        <v>148</v>
      </c>
      <c r="V33" s="53">
        <v>7263480</v>
      </c>
      <c r="W33" s="88">
        <v>5395980</v>
      </c>
      <c r="X33" s="89">
        <v>1867500</v>
      </c>
    </row>
    <row r="34" spans="3:24" x14ac:dyDescent="0.2">
      <c r="C34" s="52" t="s">
        <v>95</v>
      </c>
      <c r="D34" s="53">
        <f t="shared" si="0"/>
        <v>3793300109</v>
      </c>
      <c r="E34" s="88">
        <v>3169519564</v>
      </c>
      <c r="F34" s="89">
        <v>623780545</v>
      </c>
      <c r="G34" s="89">
        <f t="shared" si="1"/>
        <v>3793300109</v>
      </c>
      <c r="H34" s="90"/>
      <c r="I34" s="80"/>
      <c r="J34" s="80">
        <v>0</v>
      </c>
      <c r="M34" t="s">
        <v>199</v>
      </c>
      <c r="N34" s="48">
        <v>770809</v>
      </c>
      <c r="O34" s="85">
        <v>517596</v>
      </c>
      <c r="P34" s="86">
        <v>253213</v>
      </c>
      <c r="R34" s="52" t="s">
        <v>278</v>
      </c>
      <c r="S34" s="88">
        <v>62116034</v>
      </c>
      <c r="U34" t="s">
        <v>199</v>
      </c>
      <c r="V34" s="48">
        <v>770809</v>
      </c>
      <c r="W34" s="85">
        <v>517596</v>
      </c>
      <c r="X34" s="86">
        <v>253213</v>
      </c>
    </row>
    <row r="35" spans="3:24" x14ac:dyDescent="0.2">
      <c r="C35" t="s">
        <v>138</v>
      </c>
      <c r="D35" s="48">
        <f t="shared" si="0"/>
        <v>959922878</v>
      </c>
      <c r="E35" s="85">
        <v>655257941</v>
      </c>
      <c r="F35" s="86">
        <v>304664937</v>
      </c>
      <c r="G35" s="86">
        <f t="shared" si="1"/>
        <v>959922878</v>
      </c>
      <c r="H35" s="87"/>
      <c r="I35" s="78"/>
      <c r="J35" s="78">
        <v>0</v>
      </c>
      <c r="M35" s="52" t="s">
        <v>204</v>
      </c>
      <c r="N35" s="53">
        <v>14867872</v>
      </c>
      <c r="O35" s="88">
        <v>8710432</v>
      </c>
      <c r="P35" s="89">
        <v>6157440</v>
      </c>
      <c r="R35" t="s">
        <v>277</v>
      </c>
      <c r="S35" s="85">
        <v>60718988</v>
      </c>
      <c r="U35" s="52" t="s">
        <v>204</v>
      </c>
      <c r="V35" s="53">
        <v>14867872</v>
      </c>
      <c r="W35" s="88">
        <v>8710432</v>
      </c>
      <c r="X35" s="89">
        <v>6157440</v>
      </c>
    </row>
    <row r="36" spans="3:24" x14ac:dyDescent="0.2">
      <c r="C36" s="52" t="s">
        <v>140</v>
      </c>
      <c r="D36" s="53">
        <f t="shared" si="0"/>
        <v>2760119</v>
      </c>
      <c r="E36" s="88">
        <v>1596299</v>
      </c>
      <c r="F36" s="89">
        <v>1163820</v>
      </c>
      <c r="G36" s="89">
        <f t="shared" si="1"/>
        <v>2760119</v>
      </c>
      <c r="H36" s="90"/>
      <c r="I36" s="80"/>
      <c r="J36" s="80">
        <v>0</v>
      </c>
      <c r="M36" t="s">
        <v>100</v>
      </c>
      <c r="N36" s="48">
        <v>82832268</v>
      </c>
      <c r="O36" s="85">
        <v>53618195</v>
      </c>
      <c r="P36" s="86">
        <v>29214073</v>
      </c>
      <c r="R36" t="s">
        <v>281</v>
      </c>
      <c r="S36" s="85">
        <v>60190633</v>
      </c>
      <c r="U36" t="s">
        <v>100</v>
      </c>
      <c r="V36" s="48">
        <v>82832268</v>
      </c>
      <c r="W36" s="85">
        <v>53618195</v>
      </c>
      <c r="X36" s="86">
        <v>29214073</v>
      </c>
    </row>
    <row r="37" spans="3:24" x14ac:dyDescent="0.2">
      <c r="C37" t="s">
        <v>226</v>
      </c>
      <c r="D37" s="48">
        <f t="shared" si="0"/>
        <v>708783996</v>
      </c>
      <c r="E37" s="85">
        <v>470637702</v>
      </c>
      <c r="F37" s="86">
        <v>238146294</v>
      </c>
      <c r="G37" s="86">
        <f t="shared" si="1"/>
        <v>708783996</v>
      </c>
      <c r="H37" s="87"/>
      <c r="I37" s="78"/>
      <c r="J37" s="78">
        <v>0</v>
      </c>
      <c r="M37" s="52" t="s">
        <v>136</v>
      </c>
      <c r="N37" s="53">
        <v>57347575</v>
      </c>
      <c r="O37" s="88">
        <v>36544355</v>
      </c>
      <c r="P37" s="89">
        <v>20803220</v>
      </c>
      <c r="R37" s="52" t="s">
        <v>210</v>
      </c>
      <c r="S37" s="88">
        <v>56750303</v>
      </c>
      <c r="U37" s="52" t="s">
        <v>136</v>
      </c>
      <c r="V37" s="53">
        <v>57347575</v>
      </c>
      <c r="W37" s="88">
        <v>36544355</v>
      </c>
      <c r="X37" s="89">
        <v>20803220</v>
      </c>
    </row>
    <row r="38" spans="3:24" x14ac:dyDescent="0.2">
      <c r="C38" s="52" t="s">
        <v>230</v>
      </c>
      <c r="D38" s="53">
        <f t="shared" si="0"/>
        <v>68427943</v>
      </c>
      <c r="E38" s="88">
        <v>40301969</v>
      </c>
      <c r="F38" s="89">
        <v>28125974</v>
      </c>
      <c r="G38" s="89">
        <f t="shared" si="1"/>
        <v>68427943</v>
      </c>
      <c r="H38" s="90"/>
      <c r="I38" s="80"/>
      <c r="J38" s="80">
        <v>0</v>
      </c>
      <c r="M38" t="s">
        <v>182</v>
      </c>
      <c r="N38" s="48">
        <v>1581578</v>
      </c>
      <c r="O38" s="85">
        <v>934421</v>
      </c>
      <c r="P38" s="86">
        <v>647157</v>
      </c>
      <c r="R38" t="s">
        <v>282</v>
      </c>
      <c r="S38" s="85">
        <v>54322008</v>
      </c>
      <c r="U38" t="s">
        <v>182</v>
      </c>
      <c r="V38" s="48">
        <v>1581578</v>
      </c>
      <c r="W38" s="85">
        <v>934421</v>
      </c>
      <c r="X38" s="86">
        <v>647157</v>
      </c>
    </row>
    <row r="39" spans="3:24" x14ac:dyDescent="0.2">
      <c r="C39" t="s">
        <v>116</v>
      </c>
      <c r="D39" s="48">
        <f t="shared" si="0"/>
        <v>3372851</v>
      </c>
      <c r="E39" s="85">
        <v>1036254</v>
      </c>
      <c r="F39" s="86">
        <v>2336597</v>
      </c>
      <c r="G39" s="86">
        <f t="shared" si="1"/>
        <v>3372851</v>
      </c>
      <c r="H39" s="87"/>
      <c r="I39" s="78"/>
      <c r="J39" s="78">
        <v>0</v>
      </c>
      <c r="M39" s="52" t="s">
        <v>228</v>
      </c>
      <c r="N39" s="53">
        <v>978981</v>
      </c>
      <c r="O39" s="88">
        <v>440981</v>
      </c>
      <c r="P39" s="89">
        <v>538000</v>
      </c>
      <c r="R39" t="s">
        <v>100</v>
      </c>
      <c r="S39" s="85">
        <v>53618195</v>
      </c>
      <c r="U39" s="52" t="s">
        <v>228</v>
      </c>
      <c r="V39" s="53">
        <v>978981</v>
      </c>
      <c r="W39" s="88">
        <v>440981</v>
      </c>
      <c r="X39" s="89">
        <v>538000</v>
      </c>
    </row>
    <row r="40" spans="3:24" x14ac:dyDescent="0.2">
      <c r="C40" s="52" t="s">
        <v>242</v>
      </c>
      <c r="D40" s="53">
        <f t="shared" si="0"/>
        <v>5434083</v>
      </c>
      <c r="E40" s="88">
        <v>2752370</v>
      </c>
      <c r="F40" s="89">
        <v>2681713</v>
      </c>
      <c r="G40" s="89">
        <f t="shared" si="1"/>
        <v>5434083</v>
      </c>
      <c r="H40" s="90"/>
      <c r="I40" s="80"/>
      <c r="J40" s="80">
        <v>0</v>
      </c>
      <c r="M40" t="s">
        <v>93</v>
      </c>
      <c r="N40" s="48">
        <v>159286801</v>
      </c>
      <c r="O40" s="85">
        <v>90669497</v>
      </c>
      <c r="P40" s="86">
        <v>68617304</v>
      </c>
      <c r="R40" t="s">
        <v>124</v>
      </c>
      <c r="S40" s="85">
        <v>53045757</v>
      </c>
      <c r="U40" t="s">
        <v>93</v>
      </c>
      <c r="V40" s="48">
        <v>159286801</v>
      </c>
      <c r="W40" s="85">
        <v>90669497</v>
      </c>
      <c r="X40" s="86">
        <v>68617304</v>
      </c>
    </row>
    <row r="41" spans="3:24" x14ac:dyDescent="0.2">
      <c r="C41" t="s">
        <v>114</v>
      </c>
      <c r="D41" s="48">
        <f t="shared" si="0"/>
        <v>16599517</v>
      </c>
      <c r="E41" s="85">
        <v>13860685</v>
      </c>
      <c r="F41" s="86">
        <v>2738832</v>
      </c>
      <c r="G41" s="86">
        <f t="shared" si="1"/>
        <v>16599517</v>
      </c>
      <c r="H41" s="87"/>
      <c r="I41" s="78"/>
      <c r="J41" s="78">
        <v>0</v>
      </c>
      <c r="M41" s="52" t="s">
        <v>208</v>
      </c>
      <c r="N41" s="53">
        <v>23855563</v>
      </c>
      <c r="O41" s="88">
        <v>6511490</v>
      </c>
      <c r="P41" s="89">
        <v>17344073</v>
      </c>
      <c r="R41" s="52" t="s">
        <v>179</v>
      </c>
      <c r="S41" s="88">
        <v>50192102</v>
      </c>
      <c r="U41" s="52" t="s">
        <v>208</v>
      </c>
      <c r="V41" s="53">
        <v>23855563</v>
      </c>
      <c r="W41" s="88">
        <v>6511490</v>
      </c>
      <c r="X41" s="89">
        <v>17344073</v>
      </c>
    </row>
    <row r="42" spans="3:24" x14ac:dyDescent="0.2">
      <c r="C42" s="52" t="s">
        <v>56</v>
      </c>
      <c r="D42" s="53">
        <f t="shared" si="0"/>
        <v>6004448698</v>
      </c>
      <c r="E42" s="88">
        <v>4620093646</v>
      </c>
      <c r="F42" s="89">
        <v>1384355052</v>
      </c>
      <c r="G42" s="89">
        <f t="shared" si="1"/>
        <v>6004448698</v>
      </c>
      <c r="H42" s="90"/>
      <c r="I42" s="80"/>
      <c r="J42" s="80">
        <v>0</v>
      </c>
      <c r="M42" t="s">
        <v>188</v>
      </c>
      <c r="N42" s="48">
        <v>47619809.43</v>
      </c>
      <c r="O42" s="85">
        <v>10315632</v>
      </c>
      <c r="P42" s="86">
        <v>19123651</v>
      </c>
      <c r="R42" t="s">
        <v>285</v>
      </c>
      <c r="S42" s="85">
        <v>44422086</v>
      </c>
      <c r="U42" t="s">
        <v>188</v>
      </c>
      <c r="V42" s="48">
        <v>47619809.43</v>
      </c>
      <c r="W42" s="85">
        <v>10315632</v>
      </c>
      <c r="X42" s="86">
        <v>19123651</v>
      </c>
    </row>
    <row r="43" spans="3:24" x14ac:dyDescent="0.2">
      <c r="C43" t="s">
        <v>127</v>
      </c>
      <c r="D43" s="48">
        <f t="shared" si="0"/>
        <v>58259402</v>
      </c>
      <c r="E43" s="85">
        <v>23142010</v>
      </c>
      <c r="F43" s="86">
        <v>35117392</v>
      </c>
      <c r="G43" s="86">
        <f t="shared" si="1"/>
        <v>58259402</v>
      </c>
      <c r="H43" s="87"/>
      <c r="I43" s="78"/>
      <c r="J43" s="78">
        <v>0</v>
      </c>
      <c r="M43" s="52" t="s">
        <v>274</v>
      </c>
      <c r="N43" s="53">
        <v>997709090.15999997</v>
      </c>
      <c r="O43" s="88">
        <v>587430896</v>
      </c>
      <c r="P43" s="89">
        <v>390969470</v>
      </c>
      <c r="R43" t="s">
        <v>181</v>
      </c>
      <c r="S43" s="85">
        <v>42677771</v>
      </c>
      <c r="U43" s="52" t="s">
        <v>274</v>
      </c>
      <c r="V43" s="53">
        <v>997709090.15999997</v>
      </c>
      <c r="W43" s="88">
        <v>587430896</v>
      </c>
      <c r="X43" s="89">
        <v>390969470</v>
      </c>
    </row>
    <row r="44" spans="3:24" x14ac:dyDescent="0.2">
      <c r="C44" s="52" t="s">
        <v>97</v>
      </c>
      <c r="D44" s="53">
        <f t="shared" si="0"/>
        <v>244254768</v>
      </c>
      <c r="E44" s="88">
        <v>166981540</v>
      </c>
      <c r="F44" s="89">
        <v>77273228</v>
      </c>
      <c r="G44" s="89">
        <f t="shared" si="1"/>
        <v>244254768</v>
      </c>
      <c r="H44" s="90"/>
      <c r="I44" s="80"/>
      <c r="J44" s="80">
        <v>0</v>
      </c>
      <c r="M44" t="s">
        <v>189</v>
      </c>
      <c r="N44" s="48">
        <v>550531</v>
      </c>
      <c r="O44" s="85">
        <v>373081</v>
      </c>
      <c r="P44" s="86">
        <v>177450</v>
      </c>
      <c r="R44" s="52" t="s">
        <v>136</v>
      </c>
      <c r="S44" s="88">
        <v>36544355</v>
      </c>
      <c r="U44" t="s">
        <v>189</v>
      </c>
      <c r="V44" s="48">
        <v>550531</v>
      </c>
      <c r="W44" s="85">
        <v>373081</v>
      </c>
      <c r="X44" s="86">
        <v>177450</v>
      </c>
    </row>
    <row r="45" spans="3:24" x14ac:dyDescent="0.2">
      <c r="C45" t="s">
        <v>58</v>
      </c>
      <c r="D45" s="48">
        <f t="shared" si="0"/>
        <v>154508008</v>
      </c>
      <c r="E45" s="85">
        <v>99860998</v>
      </c>
      <c r="F45" s="86">
        <v>54647010</v>
      </c>
      <c r="G45" s="86">
        <f t="shared" si="1"/>
        <v>154508008</v>
      </c>
      <c r="H45" s="87"/>
      <c r="I45" s="78"/>
      <c r="J45" s="78">
        <v>0</v>
      </c>
      <c r="M45" s="52" t="s">
        <v>258</v>
      </c>
      <c r="N45" s="53">
        <v>808984</v>
      </c>
      <c r="O45" s="88">
        <v>394851</v>
      </c>
      <c r="P45" s="89">
        <v>414133</v>
      </c>
      <c r="R45" s="52" t="s">
        <v>311</v>
      </c>
      <c r="S45" s="88">
        <v>30118012</v>
      </c>
      <c r="U45" s="52" t="s">
        <v>258</v>
      </c>
      <c r="V45" s="53">
        <v>808984</v>
      </c>
      <c r="W45" s="88">
        <v>394851</v>
      </c>
      <c r="X45" s="89">
        <v>414133</v>
      </c>
    </row>
    <row r="46" spans="3:24" x14ac:dyDescent="0.2">
      <c r="C46" s="52" t="s">
        <v>216</v>
      </c>
      <c r="D46" s="53">
        <f t="shared" si="0"/>
        <v>12765699</v>
      </c>
      <c r="E46" s="88">
        <v>8621572</v>
      </c>
      <c r="F46" s="89">
        <v>4144127</v>
      </c>
      <c r="G46" s="89">
        <f t="shared" si="1"/>
        <v>12765699</v>
      </c>
      <c r="H46" s="90"/>
      <c r="I46" s="80"/>
      <c r="J46" s="80">
        <v>0</v>
      </c>
      <c r="M46" t="s">
        <v>272</v>
      </c>
      <c r="N46" s="48">
        <v>8126728</v>
      </c>
      <c r="O46" s="85">
        <v>4642794</v>
      </c>
      <c r="P46" s="86">
        <v>3483934</v>
      </c>
      <c r="R46" t="s">
        <v>177</v>
      </c>
      <c r="S46" s="85">
        <v>29407513</v>
      </c>
      <c r="U46" t="s">
        <v>272</v>
      </c>
      <c r="V46" s="48">
        <v>8126728</v>
      </c>
      <c r="W46" s="85">
        <v>4642794</v>
      </c>
      <c r="X46" s="86">
        <v>3483934</v>
      </c>
    </row>
    <row r="47" spans="3:24" x14ac:dyDescent="0.2">
      <c r="C47" t="s">
        <v>287</v>
      </c>
      <c r="D47" s="48">
        <f t="shared" si="0"/>
        <v>455725380</v>
      </c>
      <c r="E47" s="85">
        <v>330573179</v>
      </c>
      <c r="F47" s="86">
        <v>125152201</v>
      </c>
      <c r="G47" s="86">
        <f t="shared" si="1"/>
        <v>455725380</v>
      </c>
      <c r="H47" s="87"/>
      <c r="I47" s="78"/>
      <c r="J47" s="78">
        <v>0</v>
      </c>
      <c r="M47" s="52" t="s">
        <v>276</v>
      </c>
      <c r="N47" s="53">
        <v>346857564</v>
      </c>
      <c r="O47" s="88">
        <v>197141242</v>
      </c>
      <c r="P47" s="89">
        <v>149716322</v>
      </c>
      <c r="R47" t="s">
        <v>230</v>
      </c>
      <c r="S47" s="85">
        <v>24050662</v>
      </c>
      <c r="U47" s="52" t="s">
        <v>276</v>
      </c>
      <c r="V47" s="53">
        <v>346857564</v>
      </c>
      <c r="W47" s="88">
        <v>197141242</v>
      </c>
      <c r="X47" s="89">
        <v>149716322</v>
      </c>
    </row>
    <row r="48" spans="3:24" x14ac:dyDescent="0.2">
      <c r="C48" s="52" t="s">
        <v>59</v>
      </c>
      <c r="D48" s="53">
        <f t="shared" si="0"/>
        <v>410705547</v>
      </c>
      <c r="E48" s="88">
        <v>221906739</v>
      </c>
      <c r="F48" s="89">
        <v>188798808</v>
      </c>
      <c r="G48" s="89">
        <f t="shared" si="1"/>
        <v>410705547</v>
      </c>
      <c r="H48" s="90"/>
      <c r="I48" s="80"/>
      <c r="J48" s="80">
        <v>0</v>
      </c>
      <c r="M48" t="s">
        <v>255</v>
      </c>
      <c r="N48" s="48">
        <v>438211</v>
      </c>
      <c r="O48" s="85">
        <v>342101</v>
      </c>
      <c r="P48" s="86">
        <v>96110</v>
      </c>
      <c r="R48" t="s">
        <v>99</v>
      </c>
      <c r="S48" s="85">
        <v>23231378</v>
      </c>
      <c r="U48" t="s">
        <v>255</v>
      </c>
      <c r="V48" s="48">
        <v>438211</v>
      </c>
      <c r="W48" s="85">
        <v>342101</v>
      </c>
      <c r="X48" s="86">
        <v>96110</v>
      </c>
    </row>
    <row r="49" spans="3:38" x14ac:dyDescent="0.2">
      <c r="C49" t="s">
        <v>184</v>
      </c>
      <c r="D49" s="48">
        <f t="shared" si="0"/>
        <v>137828978</v>
      </c>
      <c r="E49" s="85">
        <v>62666527</v>
      </c>
      <c r="F49" s="86">
        <v>75162451</v>
      </c>
      <c r="G49" s="86">
        <f t="shared" si="1"/>
        <v>137828978</v>
      </c>
      <c r="H49" s="87"/>
      <c r="I49" s="78"/>
      <c r="J49" s="78">
        <v>0</v>
      </c>
      <c r="M49" s="52" t="s">
        <v>179</v>
      </c>
      <c r="N49" s="53">
        <v>113004821</v>
      </c>
      <c r="O49" s="88">
        <v>50192102</v>
      </c>
      <c r="P49" s="89">
        <v>62812719</v>
      </c>
      <c r="R49" t="s">
        <v>184</v>
      </c>
      <c r="S49" s="85">
        <v>21445059</v>
      </c>
      <c r="U49" s="52" t="s">
        <v>179</v>
      </c>
      <c r="V49" s="53">
        <v>113004821</v>
      </c>
      <c r="W49" s="88">
        <v>50192102</v>
      </c>
      <c r="X49" s="89">
        <v>62812719</v>
      </c>
    </row>
    <row r="50" spans="3:38" x14ac:dyDescent="0.2">
      <c r="C50" s="52" t="s">
        <v>202</v>
      </c>
      <c r="D50" s="53">
        <f t="shared" si="0"/>
        <v>11125118</v>
      </c>
      <c r="E50" s="88">
        <v>5716805</v>
      </c>
      <c r="F50" s="89">
        <v>5408313</v>
      </c>
      <c r="G50" s="89">
        <f t="shared" si="1"/>
        <v>11125118</v>
      </c>
      <c r="H50" s="90"/>
      <c r="I50" s="80"/>
      <c r="J50" s="80">
        <v>0</v>
      </c>
      <c r="M50" t="s">
        <v>261</v>
      </c>
      <c r="N50" s="48">
        <v>410013</v>
      </c>
      <c r="O50" s="85">
        <v>115848</v>
      </c>
      <c r="P50" s="86">
        <v>294165</v>
      </c>
      <c r="R50" s="52" t="s">
        <v>308</v>
      </c>
      <c r="S50" s="88">
        <v>19189141</v>
      </c>
      <c r="U50" t="s">
        <v>261</v>
      </c>
      <c r="V50" s="48">
        <v>410013</v>
      </c>
      <c r="W50" s="85">
        <v>115848</v>
      </c>
      <c r="X50" s="86">
        <v>294165</v>
      </c>
    </row>
    <row r="51" spans="3:38" x14ac:dyDescent="0.2">
      <c r="C51" t="s">
        <v>248</v>
      </c>
      <c r="D51" s="48">
        <f t="shared" si="0"/>
        <v>10394857</v>
      </c>
      <c r="E51" s="85">
        <v>6393332</v>
      </c>
      <c r="F51" s="86">
        <v>4001525</v>
      </c>
      <c r="G51" s="86">
        <f t="shared" si="1"/>
        <v>10394857</v>
      </c>
      <c r="H51" s="87"/>
      <c r="I51" s="78"/>
      <c r="J51" s="78">
        <v>0</v>
      </c>
      <c r="M51" s="52" t="s">
        <v>144</v>
      </c>
      <c r="N51" s="53">
        <v>4733482</v>
      </c>
      <c r="O51" s="88">
        <v>3345804</v>
      </c>
      <c r="P51" s="89">
        <v>1387678</v>
      </c>
      <c r="R51" t="s">
        <v>218</v>
      </c>
      <c r="S51" s="85">
        <v>17143781</v>
      </c>
      <c r="U51" s="52" t="s">
        <v>144</v>
      </c>
      <c r="V51" s="53">
        <v>4733482</v>
      </c>
      <c r="W51" s="88">
        <v>3345804</v>
      </c>
      <c r="X51" s="89">
        <v>1387678</v>
      </c>
    </row>
    <row r="52" spans="3:38" x14ac:dyDescent="0.2">
      <c r="C52" s="52" t="s">
        <v>86</v>
      </c>
      <c r="D52" s="53">
        <f t="shared" si="0"/>
        <v>25222005</v>
      </c>
      <c r="E52" s="88">
        <v>10805102</v>
      </c>
      <c r="F52" s="89">
        <v>14416903</v>
      </c>
      <c r="G52" s="89">
        <f t="shared" si="1"/>
        <v>25222005</v>
      </c>
      <c r="H52" s="90"/>
      <c r="I52" s="80"/>
      <c r="J52" s="80">
        <v>0</v>
      </c>
      <c r="M52" t="s">
        <v>290</v>
      </c>
      <c r="N52" s="48">
        <v>14092085</v>
      </c>
      <c r="O52" s="85">
        <v>5705900</v>
      </c>
      <c r="P52" s="86">
        <v>8386185</v>
      </c>
      <c r="R52" t="s">
        <v>173</v>
      </c>
      <c r="S52" s="85">
        <v>16396627</v>
      </c>
      <c r="U52" t="s">
        <v>290</v>
      </c>
      <c r="V52" s="48">
        <v>14092085</v>
      </c>
      <c r="W52" s="85">
        <v>5705900</v>
      </c>
      <c r="X52" s="86">
        <v>8386185</v>
      </c>
    </row>
    <row r="53" spans="3:38" x14ac:dyDescent="0.2">
      <c r="C53" t="s">
        <v>553</v>
      </c>
      <c r="D53" s="48">
        <f t="shared" si="0"/>
        <v>123503930</v>
      </c>
      <c r="E53" s="85">
        <v>81177878</v>
      </c>
      <c r="F53" s="86">
        <v>42326052</v>
      </c>
      <c r="G53" s="86">
        <f t="shared" si="1"/>
        <v>123503930</v>
      </c>
      <c r="H53" s="87"/>
      <c r="I53" s="78"/>
      <c r="J53" s="78">
        <v>0</v>
      </c>
      <c r="M53" s="52" t="s">
        <v>191</v>
      </c>
      <c r="N53" s="53">
        <v>505218706.05000001</v>
      </c>
      <c r="O53" s="88">
        <v>202352989</v>
      </c>
      <c r="P53" s="89">
        <v>181630846</v>
      </c>
      <c r="R53" t="s">
        <v>241</v>
      </c>
      <c r="S53" s="85">
        <v>14814561</v>
      </c>
      <c r="U53" s="52" t="s">
        <v>191</v>
      </c>
      <c r="V53" s="53">
        <v>505218706.05000001</v>
      </c>
      <c r="W53" s="88">
        <v>202352989</v>
      </c>
      <c r="X53" s="89">
        <v>181630846</v>
      </c>
    </row>
    <row r="54" spans="3:38" x14ac:dyDescent="0.2">
      <c r="C54" s="52" t="s">
        <v>99</v>
      </c>
      <c r="D54" s="53">
        <f t="shared" si="0"/>
        <v>88897949</v>
      </c>
      <c r="E54" s="88">
        <v>37666010</v>
      </c>
      <c r="F54" s="89">
        <v>51231939</v>
      </c>
      <c r="G54" s="89">
        <f t="shared" si="1"/>
        <v>88897949</v>
      </c>
      <c r="H54" s="90"/>
      <c r="I54" s="80"/>
      <c r="J54" s="80">
        <v>0</v>
      </c>
      <c r="M54" t="s">
        <v>78</v>
      </c>
      <c r="N54" s="48">
        <v>1805719</v>
      </c>
      <c r="O54" s="85">
        <v>413376</v>
      </c>
      <c r="P54" s="86">
        <v>1392343</v>
      </c>
      <c r="R54" t="s">
        <v>111</v>
      </c>
      <c r="S54" s="85">
        <v>14751890</v>
      </c>
      <c r="U54" t="s">
        <v>78</v>
      </c>
      <c r="V54" s="48">
        <v>1805719</v>
      </c>
      <c r="W54" s="85">
        <v>413376</v>
      </c>
      <c r="X54" s="86">
        <v>1392343</v>
      </c>
    </row>
    <row r="55" spans="3:38" x14ac:dyDescent="0.2">
      <c r="C55" t="s">
        <v>308</v>
      </c>
      <c r="D55" s="48">
        <f t="shared" si="0"/>
        <v>43639025</v>
      </c>
      <c r="E55" s="85">
        <v>31108580</v>
      </c>
      <c r="F55" s="86">
        <v>12530445</v>
      </c>
      <c r="G55" s="86">
        <f t="shared" si="1"/>
        <v>43639025</v>
      </c>
      <c r="H55" s="87"/>
      <c r="I55" s="78"/>
      <c r="J55" s="78">
        <v>0</v>
      </c>
      <c r="M55" s="52" t="s">
        <v>105</v>
      </c>
      <c r="N55" s="53">
        <v>564358</v>
      </c>
      <c r="O55" s="88">
        <v>374593</v>
      </c>
      <c r="P55" s="89">
        <v>189765</v>
      </c>
      <c r="R55" t="s">
        <v>251</v>
      </c>
      <c r="S55" s="85">
        <v>14553874</v>
      </c>
      <c r="U55" s="52" t="s">
        <v>105</v>
      </c>
      <c r="V55" s="53">
        <v>564358</v>
      </c>
      <c r="W55" s="88">
        <v>374593</v>
      </c>
      <c r="X55" s="89">
        <v>189765</v>
      </c>
    </row>
    <row r="56" spans="3:38" x14ac:dyDescent="0.2">
      <c r="C56" s="52" t="s">
        <v>133</v>
      </c>
      <c r="D56" s="53">
        <f t="shared" si="0"/>
        <v>10747283</v>
      </c>
      <c r="E56" s="88">
        <v>2177071</v>
      </c>
      <c r="F56" s="89">
        <v>8570212</v>
      </c>
      <c r="G56" s="89">
        <f t="shared" si="1"/>
        <v>10747283</v>
      </c>
      <c r="H56" s="90"/>
      <c r="I56" s="80"/>
      <c r="J56" s="80">
        <v>0</v>
      </c>
      <c r="M56" t="s">
        <v>103</v>
      </c>
      <c r="N56" s="48">
        <v>9361400</v>
      </c>
      <c r="O56" s="85">
        <v>8275679</v>
      </c>
      <c r="P56" s="86">
        <v>1085721</v>
      </c>
      <c r="R56" s="52" t="s">
        <v>304</v>
      </c>
      <c r="S56" s="88">
        <v>13733547</v>
      </c>
      <c r="U56" t="s">
        <v>103</v>
      </c>
      <c r="V56" s="48">
        <v>9361400</v>
      </c>
      <c r="W56" s="85">
        <v>8275679</v>
      </c>
      <c r="X56" s="86">
        <v>1085721</v>
      </c>
    </row>
    <row r="57" spans="3:38" x14ac:dyDescent="0.2">
      <c r="C57" t="s">
        <v>167</v>
      </c>
      <c r="D57" s="48">
        <f t="shared" si="0"/>
        <v>1344484</v>
      </c>
      <c r="E57" s="85">
        <v>967287</v>
      </c>
      <c r="F57" s="86">
        <v>377197</v>
      </c>
      <c r="G57" s="86">
        <f t="shared" si="1"/>
        <v>1344484</v>
      </c>
      <c r="H57" s="87"/>
      <c r="I57" s="78"/>
      <c r="J57" s="78">
        <v>0</v>
      </c>
      <c r="M57" s="52" t="s">
        <v>197</v>
      </c>
      <c r="N57" s="53">
        <v>12519370.26</v>
      </c>
      <c r="O57" s="88">
        <v>6986453</v>
      </c>
      <c r="P57" s="89">
        <v>4138114</v>
      </c>
      <c r="R57" s="52" t="s">
        <v>127</v>
      </c>
      <c r="S57" s="88">
        <v>13716300</v>
      </c>
      <c r="U57" s="52" t="s">
        <v>197</v>
      </c>
      <c r="V57" s="53">
        <v>12519370.26</v>
      </c>
      <c r="W57" s="88">
        <v>6986453</v>
      </c>
      <c r="X57" s="89">
        <v>4138114</v>
      </c>
    </row>
    <row r="58" spans="3:38" x14ac:dyDescent="0.2">
      <c r="C58" s="52" t="s">
        <v>289</v>
      </c>
      <c r="D58" s="53">
        <f t="shared" si="0"/>
        <v>6953867</v>
      </c>
      <c r="E58" s="88">
        <v>2867508</v>
      </c>
      <c r="F58" s="89">
        <v>4086359</v>
      </c>
      <c r="G58" s="89">
        <f t="shared" si="1"/>
        <v>6953867</v>
      </c>
      <c r="H58" s="90"/>
      <c r="I58" s="80"/>
      <c r="J58" s="80">
        <v>0</v>
      </c>
      <c r="M58" t="s">
        <v>238</v>
      </c>
      <c r="N58" s="48">
        <v>8785993</v>
      </c>
      <c r="O58" s="85">
        <v>4511020</v>
      </c>
      <c r="P58" s="86">
        <v>4274973</v>
      </c>
      <c r="R58" s="52" t="s">
        <v>109</v>
      </c>
      <c r="S58" s="88">
        <v>13528257</v>
      </c>
      <c r="U58" t="s">
        <v>238</v>
      </c>
      <c r="V58" s="48">
        <v>8785993</v>
      </c>
      <c r="W58" s="85">
        <v>4511020</v>
      </c>
      <c r="X58" s="86">
        <v>4274973</v>
      </c>
    </row>
    <row r="59" spans="3:38" ht="13.5" thickBot="1" x14ac:dyDescent="0.25">
      <c r="C59" t="s">
        <v>214</v>
      </c>
      <c r="D59" s="48">
        <f t="shared" si="0"/>
        <v>2452207</v>
      </c>
      <c r="E59" s="85">
        <v>1136516</v>
      </c>
      <c r="F59" s="86">
        <v>1315691</v>
      </c>
      <c r="G59" s="86">
        <f t="shared" si="1"/>
        <v>2452207</v>
      </c>
      <c r="H59" s="87"/>
      <c r="I59" s="78"/>
      <c r="J59" s="78">
        <v>0</v>
      </c>
      <c r="M59" s="69" t="s">
        <v>153</v>
      </c>
      <c r="N59" s="91">
        <v>1291803</v>
      </c>
      <c r="O59" s="92">
        <v>909919</v>
      </c>
      <c r="P59" s="93">
        <v>381884</v>
      </c>
      <c r="R59" s="47" t="s">
        <v>155</v>
      </c>
      <c r="S59" s="232">
        <v>12523241</v>
      </c>
      <c r="U59" s="69" t="s">
        <v>153</v>
      </c>
      <c r="V59" s="91">
        <v>1291803</v>
      </c>
      <c r="W59" s="92">
        <v>909919</v>
      </c>
      <c r="X59" s="93">
        <v>381884</v>
      </c>
      <c r="AA59" s="606" t="s">
        <v>605</v>
      </c>
      <c r="AB59" s="569"/>
      <c r="AC59" s="570"/>
    </row>
    <row r="60" spans="3:38" x14ac:dyDescent="0.2">
      <c r="C60" s="450" t="s">
        <v>130</v>
      </c>
      <c r="D60" s="451">
        <f>G60+J60</f>
        <v>6618394</v>
      </c>
      <c r="E60" s="443">
        <v>5194714</v>
      </c>
      <c r="F60" s="444">
        <v>1423680</v>
      </c>
      <c r="G60" s="452">
        <f>SUM(E60:F60)</f>
        <v>6618394</v>
      </c>
      <c r="H60" s="443"/>
      <c r="I60" s="444"/>
      <c r="J60" s="444">
        <v>0</v>
      </c>
      <c r="M60" t="s">
        <v>279</v>
      </c>
      <c r="N60" s="48">
        <v>1957514338</v>
      </c>
      <c r="O60" s="85">
        <v>1302198215</v>
      </c>
      <c r="P60" s="86">
        <v>655316123</v>
      </c>
      <c r="R60" t="s">
        <v>188</v>
      </c>
      <c r="S60" s="85">
        <v>10315632</v>
      </c>
      <c r="U60" t="s">
        <v>279</v>
      </c>
      <c r="V60" s="48">
        <v>1957514338</v>
      </c>
      <c r="W60" s="85">
        <v>1302198215</v>
      </c>
      <c r="X60" s="86">
        <v>655316123</v>
      </c>
      <c r="AA60" s="589" t="s">
        <v>8</v>
      </c>
      <c r="AB60" s="580" t="s">
        <v>513</v>
      </c>
      <c r="AC60" s="609"/>
      <c r="AE60" s="576" t="s">
        <v>588</v>
      </c>
      <c r="AF60" s="569"/>
      <c r="AG60" s="569"/>
      <c r="AH60" s="569"/>
      <c r="AI60" s="585" t="s">
        <v>601</v>
      </c>
      <c r="AJ60" s="569"/>
      <c r="AK60" s="569"/>
      <c r="AL60" s="570"/>
    </row>
    <row r="61" spans="3:38" ht="13.5" thickBot="1" x14ac:dyDescent="0.25">
      <c r="C61" s="490" t="s">
        <v>0</v>
      </c>
      <c r="D61" s="491">
        <f>SUM('Table 20 part 1'!D9:D62)+SUM('Table 20 part 2'!D9:D60)</f>
        <v>48533261486.039993</v>
      </c>
      <c r="E61" s="506">
        <f>SUM('Table 20 part 1'!E9:E62)+SUM('Table 20 part 2'!E9:E60)</f>
        <v>35806425197</v>
      </c>
      <c r="F61" s="507">
        <f>SUM('Table 20 part 1'!F9:F62)+SUM('Table 20 part 2'!F9:F60)</f>
        <v>12562953580</v>
      </c>
      <c r="G61" s="508">
        <f>SUM('Table 20 part 1'!G9:G62)+SUM('Table 20 part 2'!G9:G60)</f>
        <v>48369378777</v>
      </c>
      <c r="H61" s="492">
        <f>SUM('Table 20 part 1'!H9:H62)+SUM('Table 20 part 2'!H9:H60)</f>
        <v>133945927.62</v>
      </c>
      <c r="I61" s="509">
        <f>SUM('Table 20 part 1'!I9:I62)+SUM('Table 20 part 2'!I9:I60)</f>
        <v>29936781.419999998</v>
      </c>
      <c r="J61" s="509">
        <f>SUM('Table 20 part 1'!J9:J62)+SUM('Table 20 part 2'!J9:J60)</f>
        <v>163882709.04000002</v>
      </c>
      <c r="N61" s="48"/>
      <c r="O61" s="85"/>
      <c r="P61" s="86"/>
      <c r="S61" s="85"/>
      <c r="V61" s="48"/>
      <c r="W61" s="85"/>
      <c r="X61" s="86"/>
      <c r="AA61" s="589" t="s">
        <v>512</v>
      </c>
      <c r="AB61" s="580" t="s">
        <v>514</v>
      </c>
      <c r="AC61" s="609"/>
      <c r="AE61" s="589" t="s">
        <v>603</v>
      </c>
      <c r="AF61" s="560"/>
      <c r="AG61" s="560"/>
      <c r="AH61" s="607">
        <f>D61</f>
        <v>48533261486.039993</v>
      </c>
      <c r="AI61" s="580" t="s">
        <v>600</v>
      </c>
      <c r="AJ61" s="580"/>
      <c r="AK61" s="580"/>
      <c r="AL61" s="586">
        <f>ROUNDDOWN(AH61/1000000000,1)</f>
        <v>48.5</v>
      </c>
    </row>
    <row r="62" spans="3:38" x14ac:dyDescent="0.2">
      <c r="C62" s="74" t="s">
        <v>1</v>
      </c>
      <c r="D62" s="74"/>
      <c r="E62" s="74"/>
      <c r="F62" s="74"/>
      <c r="G62" s="74"/>
      <c r="H62" s="74"/>
      <c r="I62" s="74"/>
      <c r="J62" s="74"/>
      <c r="M62" s="52" t="s">
        <v>297</v>
      </c>
      <c r="N62" s="53">
        <v>181742697</v>
      </c>
      <c r="O62" s="88">
        <v>111040920</v>
      </c>
      <c r="P62" s="89">
        <v>70701777</v>
      </c>
      <c r="R62" s="52" t="s">
        <v>114</v>
      </c>
      <c r="S62" s="88">
        <v>9697492</v>
      </c>
      <c r="U62" s="52" t="s">
        <v>297</v>
      </c>
      <c r="V62" s="53">
        <v>181742697</v>
      </c>
      <c r="W62" s="88">
        <v>111040920</v>
      </c>
      <c r="X62" s="89">
        <v>70701777</v>
      </c>
      <c r="AA62" s="610">
        <f>'table 1 &amp; 2'!B42</f>
        <v>112757628946.25999</v>
      </c>
      <c r="AB62" s="611">
        <f>D61/AA62</f>
        <v>0.43042108937188478</v>
      </c>
      <c r="AC62" s="573"/>
      <c r="AE62" s="577" t="s">
        <v>604</v>
      </c>
      <c r="AF62" s="572"/>
      <c r="AG62" s="572"/>
      <c r="AH62" s="608">
        <f>D61-D13</f>
        <v>47427722609.039993</v>
      </c>
      <c r="AI62" s="587" t="s">
        <v>600</v>
      </c>
      <c r="AJ62" s="587"/>
      <c r="AK62" s="587"/>
      <c r="AL62" s="594">
        <f>ROUNDDOWN(AH62/1000000000,1)</f>
        <v>47.4</v>
      </c>
    </row>
    <row r="63" spans="3:38" x14ac:dyDescent="0.2">
      <c r="C63" t="s">
        <v>379</v>
      </c>
      <c r="M63" t="s">
        <v>111</v>
      </c>
      <c r="N63" s="48">
        <v>19862627</v>
      </c>
      <c r="O63" s="85">
        <v>14751890</v>
      </c>
      <c r="P63" s="86">
        <v>5110737</v>
      </c>
      <c r="R63" s="52" t="s">
        <v>165</v>
      </c>
      <c r="S63" s="88">
        <v>9085257</v>
      </c>
      <c r="U63" t="s">
        <v>111</v>
      </c>
      <c r="V63" s="48">
        <v>19862627</v>
      </c>
      <c r="W63" s="85">
        <v>14751890</v>
      </c>
      <c r="X63" s="86">
        <v>5110737</v>
      </c>
    </row>
    <row r="64" spans="3:38" x14ac:dyDescent="0.2">
      <c r="C64" s="650">
        <f>+'Table 20 part 1'!C65:J65+1</f>
        <v>23</v>
      </c>
      <c r="D64" s="650"/>
      <c r="E64" s="650"/>
      <c r="F64" s="650"/>
      <c r="G64" s="650"/>
      <c r="H64" s="650"/>
      <c r="I64" s="650"/>
      <c r="J64" s="650"/>
      <c r="M64" s="52" t="s">
        <v>165</v>
      </c>
      <c r="N64" s="53">
        <v>30614444</v>
      </c>
      <c r="O64" s="88">
        <v>9085257</v>
      </c>
      <c r="P64" s="89">
        <v>21529187</v>
      </c>
      <c r="R64" s="52" t="s">
        <v>204</v>
      </c>
      <c r="S64" s="88">
        <v>8710432</v>
      </c>
      <c r="U64" s="52" t="s">
        <v>165</v>
      </c>
      <c r="V64" s="53">
        <v>30614444</v>
      </c>
      <c r="W64" s="88">
        <v>9085257</v>
      </c>
      <c r="X64" s="89">
        <v>21529187</v>
      </c>
    </row>
    <row r="65" spans="3:28" x14ac:dyDescent="0.2">
      <c r="C65" s="388" t="s">
        <v>540</v>
      </c>
      <c r="D65" s="322"/>
      <c r="E65" s="322"/>
      <c r="F65" s="322"/>
      <c r="G65" s="480"/>
      <c r="H65" s="480"/>
      <c r="I65" s="480"/>
      <c r="J65" s="480"/>
      <c r="K65" s="322"/>
      <c r="L65" s="322"/>
      <c r="M65" s="322" t="s">
        <v>45</v>
      </c>
      <c r="N65" s="481">
        <v>706826890</v>
      </c>
      <c r="O65" s="484">
        <v>613670270</v>
      </c>
      <c r="P65" s="485">
        <v>93156620</v>
      </c>
      <c r="Q65" s="322"/>
      <c r="R65" s="322" t="s">
        <v>103</v>
      </c>
      <c r="S65" s="484">
        <v>8275679</v>
      </c>
      <c r="T65" s="322"/>
      <c r="U65" s="322" t="s">
        <v>45</v>
      </c>
      <c r="V65" s="481">
        <v>706826890</v>
      </c>
      <c r="W65" s="484">
        <v>613670270</v>
      </c>
      <c r="X65" s="485">
        <v>93156620</v>
      </c>
      <c r="Y65" s="322"/>
      <c r="Z65" s="322"/>
      <c r="AA65" s="322"/>
      <c r="AB65" s="322"/>
    </row>
    <row r="66" spans="3:28" x14ac:dyDescent="0.2">
      <c r="D66" s="48"/>
      <c r="F66" s="112" t="s">
        <v>449</v>
      </c>
      <c r="G66" s="572" t="s">
        <v>450</v>
      </c>
      <c r="H66" s="572" t="s">
        <v>451</v>
      </c>
      <c r="I66" s="572" t="s">
        <v>452</v>
      </c>
      <c r="J66" s="112"/>
      <c r="M66" s="52" t="s">
        <v>275</v>
      </c>
      <c r="N66" s="53">
        <v>296905029</v>
      </c>
      <c r="O66" s="88">
        <v>215132265</v>
      </c>
      <c r="P66" s="89">
        <v>81772764</v>
      </c>
      <c r="R66" s="52" t="s">
        <v>201</v>
      </c>
      <c r="S66" s="88">
        <v>7814081</v>
      </c>
      <c r="U66" s="52" t="s">
        <v>275</v>
      </c>
      <c r="V66" s="53">
        <v>296905029</v>
      </c>
      <c r="W66" s="88">
        <v>215132265</v>
      </c>
      <c r="X66" s="89">
        <v>81772764</v>
      </c>
    </row>
    <row r="67" spans="3:28" x14ac:dyDescent="0.2">
      <c r="C67" t="s">
        <v>279</v>
      </c>
      <c r="D67" s="225">
        <f>D9/1000</f>
        <v>3426663.6370000001</v>
      </c>
      <c r="F67" t="str">
        <f>IF($D67&lt;999,$C67,"")</f>
        <v/>
      </c>
      <c r="G67" t="str">
        <f>IF($D67&lt;10999,$C67,"")</f>
        <v/>
      </c>
      <c r="H67" t="str">
        <f>IF($D67&lt;100999,$C67,"")</f>
        <v/>
      </c>
      <c r="I67" t="str">
        <f>IF($D67&gt;100999,$C67,"")</f>
        <v>Las Cruces</v>
      </c>
      <c r="M67" t="s">
        <v>82</v>
      </c>
      <c r="N67" s="48">
        <v>221400886</v>
      </c>
      <c r="O67" s="85">
        <v>194216890</v>
      </c>
      <c r="P67" s="86">
        <v>27183996</v>
      </c>
      <c r="R67" t="s">
        <v>216</v>
      </c>
      <c r="S67" s="85">
        <v>7533398</v>
      </c>
      <c r="U67" t="s">
        <v>82</v>
      </c>
      <c r="V67" s="48">
        <v>221400886</v>
      </c>
      <c r="W67" s="85">
        <v>194216890</v>
      </c>
      <c r="X67" s="86">
        <v>27183996</v>
      </c>
    </row>
    <row r="68" spans="3:28" x14ac:dyDescent="0.2">
      <c r="C68" s="52" t="s">
        <v>297</v>
      </c>
      <c r="D68" s="225">
        <f t="shared" ref="D68:D91" si="2">D10/1000</f>
        <v>262409.98300000001</v>
      </c>
      <c r="F68" t="str">
        <f t="shared" ref="F68:F118" si="3">IF($D68&lt;999,$C68,"")</f>
        <v/>
      </c>
      <c r="G68" t="str">
        <f t="shared" ref="G68:G118" si="4">IF($D68&lt;10999,$C68,"")</f>
        <v/>
      </c>
      <c r="H68" t="str">
        <f t="shared" ref="H68:H113" si="5">IF($D68&lt;100999,$C68,"")</f>
        <v/>
      </c>
      <c r="I68" t="str">
        <f t="shared" ref="I68:I118" si="6">IF($D68&gt;100999,$C68,"")</f>
        <v>Las Vegas</v>
      </c>
      <c r="M68" s="52" t="s">
        <v>306</v>
      </c>
      <c r="N68" s="53">
        <v>5533761</v>
      </c>
      <c r="O68" s="88">
        <v>3831979</v>
      </c>
      <c r="P68" s="89">
        <v>1701782</v>
      </c>
      <c r="R68" s="52" t="s">
        <v>269</v>
      </c>
      <c r="S68" s="88">
        <v>7476509</v>
      </c>
      <c r="U68" s="52" t="s">
        <v>306</v>
      </c>
      <c r="V68" s="53">
        <v>5533761</v>
      </c>
      <c r="W68" s="88">
        <v>3831979</v>
      </c>
      <c r="X68" s="89">
        <v>1701782</v>
      </c>
    </row>
    <row r="69" spans="3:28" x14ac:dyDescent="0.2">
      <c r="C69" t="s">
        <v>111</v>
      </c>
      <c r="D69" s="225">
        <f t="shared" si="2"/>
        <v>43775.650999999998</v>
      </c>
      <c r="F69" t="str">
        <f t="shared" si="3"/>
        <v/>
      </c>
      <c r="G69" t="str">
        <f t="shared" si="4"/>
        <v/>
      </c>
      <c r="H69" t="str">
        <f t="shared" si="5"/>
        <v>Logan</v>
      </c>
      <c r="I69" t="str">
        <f t="shared" si="6"/>
        <v/>
      </c>
      <c r="M69" t="s">
        <v>181</v>
      </c>
      <c r="N69" s="48">
        <v>60542865</v>
      </c>
      <c r="O69" s="85">
        <v>42677771</v>
      </c>
      <c r="P69" s="86">
        <v>17865094</v>
      </c>
      <c r="R69" s="52" t="s">
        <v>186</v>
      </c>
      <c r="S69" s="88">
        <v>7359984</v>
      </c>
      <c r="U69" t="s">
        <v>181</v>
      </c>
      <c r="V69" s="48">
        <v>60542865</v>
      </c>
      <c r="W69" s="85">
        <v>42677771</v>
      </c>
      <c r="X69" s="86">
        <v>17865094</v>
      </c>
    </row>
    <row r="70" spans="3:28" x14ac:dyDescent="0.2">
      <c r="C70" s="52" t="s">
        <v>165</v>
      </c>
      <c r="D70" s="225">
        <f t="shared" si="2"/>
        <v>43439.42</v>
      </c>
      <c r="F70" t="str">
        <f t="shared" si="3"/>
        <v/>
      </c>
      <c r="G70" t="str">
        <f t="shared" si="4"/>
        <v/>
      </c>
      <c r="H70" t="str">
        <f t="shared" si="5"/>
        <v>Lordsburg</v>
      </c>
      <c r="I70" t="str">
        <f t="shared" si="6"/>
        <v/>
      </c>
      <c r="M70" s="52" t="s">
        <v>151</v>
      </c>
      <c r="N70" s="53">
        <v>5244034</v>
      </c>
      <c r="O70" s="88">
        <v>3682966</v>
      </c>
      <c r="P70" s="89">
        <v>1561068</v>
      </c>
      <c r="R70" s="52" t="s">
        <v>86</v>
      </c>
      <c r="S70" s="88">
        <v>7178416</v>
      </c>
      <c r="U70" s="52" t="s">
        <v>151</v>
      </c>
      <c r="V70" s="53">
        <v>5244034</v>
      </c>
      <c r="W70" s="88">
        <v>3682966</v>
      </c>
      <c r="X70" s="89">
        <v>1561068</v>
      </c>
    </row>
    <row r="71" spans="3:28" x14ac:dyDescent="0.2">
      <c r="C71" t="s">
        <v>45</v>
      </c>
      <c r="D71" s="225">
        <f t="shared" si="2"/>
        <v>1105538.8770000001</v>
      </c>
      <c r="F71" t="str">
        <f t="shared" si="3"/>
        <v/>
      </c>
      <c r="G71" t="str">
        <f t="shared" si="4"/>
        <v/>
      </c>
      <c r="H71" t="str">
        <f t="shared" si="5"/>
        <v/>
      </c>
      <c r="I71" t="str">
        <f t="shared" si="6"/>
        <v>Los Alamos</v>
      </c>
      <c r="M71" t="s">
        <v>219</v>
      </c>
      <c r="N71" s="48">
        <v>2112630</v>
      </c>
      <c r="O71" s="85">
        <v>1538852</v>
      </c>
      <c r="P71" s="86">
        <v>573778</v>
      </c>
      <c r="R71" s="52" t="s">
        <v>197</v>
      </c>
      <c r="S71" s="88">
        <v>6986453</v>
      </c>
      <c r="U71" t="s">
        <v>219</v>
      </c>
      <c r="V71" s="48">
        <v>2112630</v>
      </c>
      <c r="W71" s="85">
        <v>1538852</v>
      </c>
      <c r="X71" s="86">
        <v>573778</v>
      </c>
    </row>
    <row r="72" spans="3:28" x14ac:dyDescent="0.2">
      <c r="C72" s="52" t="s">
        <v>275</v>
      </c>
      <c r="D72" s="225">
        <f t="shared" si="2"/>
        <v>743294.39800000004</v>
      </c>
      <c r="F72" t="str">
        <f t="shared" si="3"/>
        <v/>
      </c>
      <c r="G72" t="str">
        <f t="shared" si="4"/>
        <v/>
      </c>
      <c r="H72" t="str">
        <f t="shared" si="5"/>
        <v/>
      </c>
      <c r="I72" t="str">
        <f t="shared" si="6"/>
        <v>Los Lunas</v>
      </c>
      <c r="M72" s="52" t="s">
        <v>252</v>
      </c>
      <c r="N72" s="53">
        <v>5213226</v>
      </c>
      <c r="O72" s="88">
        <v>3143396</v>
      </c>
      <c r="P72" s="89">
        <v>2069830</v>
      </c>
      <c r="R72" s="52" t="s">
        <v>208</v>
      </c>
      <c r="S72" s="88">
        <v>6511490</v>
      </c>
      <c r="U72" s="52" t="s">
        <v>252</v>
      </c>
      <c r="V72" s="53">
        <v>5213226</v>
      </c>
      <c r="W72" s="88">
        <v>3143396</v>
      </c>
      <c r="X72" s="89">
        <v>2069830</v>
      </c>
    </row>
    <row r="73" spans="3:28" x14ac:dyDescent="0.2">
      <c r="C73" t="s">
        <v>82</v>
      </c>
      <c r="D73" s="225">
        <f t="shared" si="2"/>
        <v>366225.25099999999</v>
      </c>
      <c r="F73" t="str">
        <f t="shared" si="3"/>
        <v/>
      </c>
      <c r="G73" t="str">
        <f t="shared" si="4"/>
        <v/>
      </c>
      <c r="H73" t="str">
        <f t="shared" si="5"/>
        <v/>
      </c>
      <c r="I73" t="str">
        <f t="shared" si="6"/>
        <v>Los Ranchos</v>
      </c>
      <c r="M73" t="s">
        <v>282</v>
      </c>
      <c r="N73" s="48">
        <v>69565481</v>
      </c>
      <c r="O73" s="85">
        <v>54322008</v>
      </c>
      <c r="P73" s="86">
        <v>15243473</v>
      </c>
      <c r="R73" t="s">
        <v>233</v>
      </c>
      <c r="S73" s="85">
        <v>6200644</v>
      </c>
      <c r="U73" t="s">
        <v>282</v>
      </c>
      <c r="V73" s="48">
        <v>69565481</v>
      </c>
      <c r="W73" s="85">
        <v>54322008</v>
      </c>
      <c r="X73" s="86">
        <v>15243473</v>
      </c>
    </row>
    <row r="74" spans="3:28" x14ac:dyDescent="0.2">
      <c r="C74" s="52" t="s">
        <v>306</v>
      </c>
      <c r="D74" s="225">
        <f t="shared" si="2"/>
        <v>19663.060000000001</v>
      </c>
      <c r="F74" t="str">
        <f t="shared" si="3"/>
        <v/>
      </c>
      <c r="G74" t="str">
        <f t="shared" si="4"/>
        <v/>
      </c>
      <c r="H74" t="str">
        <f t="shared" si="5"/>
        <v>Loving</v>
      </c>
      <c r="I74" t="str">
        <f t="shared" si="6"/>
        <v/>
      </c>
      <c r="M74" s="52" t="s">
        <v>186</v>
      </c>
      <c r="N74" s="53">
        <v>35786434</v>
      </c>
      <c r="O74" s="88">
        <v>7359984</v>
      </c>
      <c r="P74" s="89">
        <v>28426450</v>
      </c>
      <c r="R74" t="s">
        <v>290</v>
      </c>
      <c r="S74" s="85">
        <v>5705900</v>
      </c>
      <c r="U74" s="52" t="s">
        <v>186</v>
      </c>
      <c r="V74" s="53">
        <v>35786434</v>
      </c>
      <c r="W74" s="88">
        <v>7359984</v>
      </c>
      <c r="X74" s="89">
        <v>28426450</v>
      </c>
    </row>
    <row r="75" spans="3:28" x14ac:dyDescent="0.2">
      <c r="C75" t="s">
        <v>181</v>
      </c>
      <c r="D75" s="225">
        <f t="shared" si="2"/>
        <v>149354.84700000001</v>
      </c>
      <c r="F75" t="str">
        <f t="shared" si="3"/>
        <v/>
      </c>
      <c r="G75" t="str">
        <f t="shared" si="4"/>
        <v/>
      </c>
      <c r="H75" t="str">
        <f t="shared" si="5"/>
        <v/>
      </c>
      <c r="I75" t="str">
        <f t="shared" si="6"/>
        <v>Lovington</v>
      </c>
      <c r="M75" t="s">
        <v>218</v>
      </c>
      <c r="N75" s="48">
        <v>43862768</v>
      </c>
      <c r="O75" s="85">
        <v>17143781</v>
      </c>
      <c r="P75" s="86">
        <v>26718987</v>
      </c>
      <c r="R75" t="s">
        <v>223</v>
      </c>
      <c r="S75" s="85">
        <v>5695872</v>
      </c>
      <c r="U75" t="s">
        <v>218</v>
      </c>
      <c r="V75" s="48">
        <v>43862768</v>
      </c>
      <c r="W75" s="85">
        <v>17143781</v>
      </c>
      <c r="X75" s="86">
        <v>26718987</v>
      </c>
    </row>
    <row r="76" spans="3:28" x14ac:dyDescent="0.2">
      <c r="C76" s="52" t="s">
        <v>151</v>
      </c>
      <c r="D76" s="225">
        <f t="shared" si="2"/>
        <v>10030.1</v>
      </c>
      <c r="F76" t="str">
        <f t="shared" si="3"/>
        <v/>
      </c>
      <c r="G76" t="str">
        <f t="shared" si="4"/>
        <v>Magdalena</v>
      </c>
      <c r="I76" t="str">
        <f t="shared" si="6"/>
        <v/>
      </c>
      <c r="M76" s="52" t="s">
        <v>146</v>
      </c>
      <c r="N76" s="53">
        <v>679629</v>
      </c>
      <c r="O76" s="88">
        <v>418869</v>
      </c>
      <c r="P76" s="89">
        <v>260760</v>
      </c>
      <c r="R76" s="52" t="s">
        <v>148</v>
      </c>
      <c r="S76" s="88">
        <v>5395980</v>
      </c>
      <c r="U76" s="52" t="s">
        <v>146</v>
      </c>
      <c r="V76" s="53">
        <v>679629</v>
      </c>
      <c r="W76" s="88">
        <v>418869</v>
      </c>
      <c r="X76" s="89">
        <v>260760</v>
      </c>
    </row>
    <row r="77" spans="3:28" x14ac:dyDescent="0.2">
      <c r="C77" t="s">
        <v>219</v>
      </c>
      <c r="D77" s="225">
        <f t="shared" si="2"/>
        <v>3134.8530000000001</v>
      </c>
      <c r="F77" t="str">
        <f t="shared" si="3"/>
        <v/>
      </c>
      <c r="G77" t="str">
        <f t="shared" si="4"/>
        <v>Maxwell</v>
      </c>
      <c r="I77" t="str">
        <f t="shared" si="6"/>
        <v/>
      </c>
      <c r="M77" t="s">
        <v>223</v>
      </c>
      <c r="N77" s="48">
        <v>9456726</v>
      </c>
      <c r="O77" s="85">
        <v>5695872</v>
      </c>
      <c r="P77" s="86">
        <v>3760854</v>
      </c>
      <c r="R77" t="s">
        <v>272</v>
      </c>
      <c r="S77" s="85">
        <v>4642794</v>
      </c>
      <c r="U77" t="s">
        <v>223</v>
      </c>
      <c r="V77" s="48">
        <v>9456726</v>
      </c>
      <c r="W77" s="85">
        <v>5695872</v>
      </c>
      <c r="X77" s="86">
        <v>3760854</v>
      </c>
    </row>
    <row r="78" spans="3:28" x14ac:dyDescent="0.2">
      <c r="C78" s="52" t="s">
        <v>252</v>
      </c>
      <c r="D78" s="225">
        <f t="shared" si="2"/>
        <v>10778.414000000001</v>
      </c>
      <c r="F78" t="str">
        <f t="shared" si="3"/>
        <v/>
      </c>
      <c r="G78" t="str">
        <f t="shared" si="4"/>
        <v>Melrose</v>
      </c>
      <c r="I78" t="str">
        <f t="shared" si="6"/>
        <v/>
      </c>
      <c r="M78" s="52" t="s">
        <v>304</v>
      </c>
      <c r="N78" s="53">
        <v>17191989</v>
      </c>
      <c r="O78" s="88">
        <v>13733547</v>
      </c>
      <c r="P78" s="89">
        <v>3458442</v>
      </c>
      <c r="R78" t="s">
        <v>238</v>
      </c>
      <c r="S78" s="85">
        <v>4511020</v>
      </c>
      <c r="U78" s="52" t="s">
        <v>304</v>
      </c>
      <c r="V78" s="53">
        <v>17191989</v>
      </c>
      <c r="W78" s="88">
        <v>13733547</v>
      </c>
      <c r="X78" s="89">
        <v>3458442</v>
      </c>
    </row>
    <row r="79" spans="3:28" x14ac:dyDescent="0.2">
      <c r="C79" t="s">
        <v>282</v>
      </c>
      <c r="D79" s="225">
        <f t="shared" si="2"/>
        <v>86521.252999999997</v>
      </c>
      <c r="F79" t="str">
        <f t="shared" si="3"/>
        <v/>
      </c>
      <c r="G79" t="str">
        <f t="shared" si="4"/>
        <v/>
      </c>
      <c r="H79" t="str">
        <f t="shared" si="5"/>
        <v>Mesilla</v>
      </c>
      <c r="I79" t="str">
        <f t="shared" si="6"/>
        <v/>
      </c>
      <c r="M79" t="s">
        <v>285</v>
      </c>
      <c r="N79" s="48">
        <v>50385401</v>
      </c>
      <c r="O79" s="85">
        <v>44422086</v>
      </c>
      <c r="P79" s="86">
        <v>5963315</v>
      </c>
      <c r="R79" s="52" t="s">
        <v>306</v>
      </c>
      <c r="S79" s="88">
        <v>3831979</v>
      </c>
      <c r="U79" t="s">
        <v>285</v>
      </c>
      <c r="V79" s="48">
        <v>50385401</v>
      </c>
      <c r="W79" s="85">
        <v>44422086</v>
      </c>
      <c r="X79" s="86">
        <v>5963315</v>
      </c>
    </row>
    <row r="80" spans="3:28" x14ac:dyDescent="0.2">
      <c r="C80" s="52" t="s">
        <v>186</v>
      </c>
      <c r="D80" s="225">
        <f t="shared" si="2"/>
        <v>49657.175000000003</v>
      </c>
      <c r="F80" t="str">
        <f t="shared" si="3"/>
        <v/>
      </c>
      <c r="G80" t="str">
        <f t="shared" si="4"/>
        <v/>
      </c>
      <c r="H80" t="str">
        <f t="shared" si="5"/>
        <v>Milan</v>
      </c>
      <c r="I80" t="str">
        <f t="shared" si="6"/>
        <v/>
      </c>
      <c r="M80" s="52" t="s">
        <v>176</v>
      </c>
      <c r="N80" s="53">
        <v>103953582</v>
      </c>
      <c r="O80" s="88">
        <v>72046202</v>
      </c>
      <c r="P80" s="89">
        <v>31907380</v>
      </c>
      <c r="R80" s="52" t="s">
        <v>151</v>
      </c>
      <c r="S80" s="88">
        <v>3682966</v>
      </c>
      <c r="U80" s="52" t="s">
        <v>176</v>
      </c>
      <c r="V80" s="53">
        <v>103953582</v>
      </c>
      <c r="W80" s="88">
        <v>72046202</v>
      </c>
      <c r="X80" s="89">
        <v>31907380</v>
      </c>
    </row>
    <row r="81" spans="3:24" x14ac:dyDescent="0.2">
      <c r="C81" t="s">
        <v>218</v>
      </c>
      <c r="D81" s="225">
        <f t="shared" si="2"/>
        <v>61176.894</v>
      </c>
      <c r="F81" t="str">
        <f t="shared" si="3"/>
        <v/>
      </c>
      <c r="G81" t="str">
        <f t="shared" si="4"/>
        <v/>
      </c>
      <c r="H81" t="str">
        <f t="shared" si="5"/>
        <v>Moriarty</v>
      </c>
      <c r="I81" t="str">
        <f t="shared" si="6"/>
        <v/>
      </c>
      <c r="M81" t="s">
        <v>173</v>
      </c>
      <c r="N81" s="48">
        <v>22862913</v>
      </c>
      <c r="O81" s="85">
        <v>16396627</v>
      </c>
      <c r="P81" s="86">
        <v>6466286</v>
      </c>
      <c r="R81" t="s">
        <v>130</v>
      </c>
      <c r="S81" s="85">
        <v>3644684</v>
      </c>
      <c r="U81" t="s">
        <v>173</v>
      </c>
      <c r="V81" s="48">
        <v>22862913</v>
      </c>
      <c r="W81" s="85">
        <v>16396627</v>
      </c>
      <c r="X81" s="86">
        <v>6466286</v>
      </c>
    </row>
    <row r="82" spans="3:24" x14ac:dyDescent="0.2">
      <c r="C82" s="52" t="s">
        <v>146</v>
      </c>
      <c r="D82" s="225">
        <f t="shared" si="2"/>
        <v>1323.6469999999999</v>
      </c>
      <c r="F82" t="str">
        <f t="shared" si="3"/>
        <v/>
      </c>
      <c r="G82" t="str">
        <f t="shared" si="4"/>
        <v>Mosquero</v>
      </c>
      <c r="I82" t="str">
        <f t="shared" si="6"/>
        <v/>
      </c>
      <c r="M82" s="52" t="s">
        <v>210</v>
      </c>
      <c r="N82" s="53">
        <v>90678375</v>
      </c>
      <c r="O82" s="88">
        <v>56750303</v>
      </c>
      <c r="P82" s="89">
        <v>33928072</v>
      </c>
      <c r="R82" t="s">
        <v>248</v>
      </c>
      <c r="S82" s="85">
        <v>3535067</v>
      </c>
      <c r="U82" s="52" t="s">
        <v>210</v>
      </c>
      <c r="V82" s="53">
        <v>90678375</v>
      </c>
      <c r="W82" s="88">
        <v>56750303</v>
      </c>
      <c r="X82" s="89">
        <v>33928072</v>
      </c>
    </row>
    <row r="83" spans="3:24" x14ac:dyDescent="0.2">
      <c r="C83" t="s">
        <v>223</v>
      </c>
      <c r="D83" s="225">
        <f t="shared" si="2"/>
        <v>13749.64</v>
      </c>
      <c r="F83" t="str">
        <f t="shared" si="3"/>
        <v/>
      </c>
      <c r="G83" t="str">
        <f t="shared" si="4"/>
        <v/>
      </c>
      <c r="H83" t="str">
        <f t="shared" si="5"/>
        <v>Mountainair</v>
      </c>
      <c r="I83" t="str">
        <f t="shared" si="6"/>
        <v/>
      </c>
      <c r="M83" t="s">
        <v>177</v>
      </c>
      <c r="N83" s="48">
        <v>47821768</v>
      </c>
      <c r="O83" s="85">
        <v>29407513</v>
      </c>
      <c r="P83" s="86">
        <v>18414255</v>
      </c>
      <c r="R83" s="52" t="s">
        <v>144</v>
      </c>
      <c r="S83" s="88">
        <v>3345804</v>
      </c>
      <c r="U83" t="s">
        <v>177</v>
      </c>
      <c r="V83" s="48">
        <v>47821768</v>
      </c>
      <c r="W83" s="85">
        <v>29407513</v>
      </c>
      <c r="X83" s="86">
        <v>18414255</v>
      </c>
    </row>
    <row r="84" spans="3:24" x14ac:dyDescent="0.2">
      <c r="C84" s="52" t="s">
        <v>304</v>
      </c>
      <c r="D84" s="225">
        <f t="shared" si="2"/>
        <v>28299.784</v>
      </c>
      <c r="F84" t="str">
        <f t="shared" si="3"/>
        <v/>
      </c>
      <c r="G84" t="str">
        <f t="shared" si="4"/>
        <v/>
      </c>
      <c r="H84" t="str">
        <f t="shared" si="5"/>
        <v>Pecos</v>
      </c>
      <c r="I84" t="str">
        <f t="shared" si="6"/>
        <v/>
      </c>
      <c r="M84" s="52" t="s">
        <v>118</v>
      </c>
      <c r="N84" s="53">
        <v>5643054</v>
      </c>
      <c r="O84" s="88">
        <v>2372566</v>
      </c>
      <c r="P84" s="89">
        <v>3270488</v>
      </c>
      <c r="R84" s="52" t="s">
        <v>252</v>
      </c>
      <c r="S84" s="88">
        <v>3143396</v>
      </c>
      <c r="U84" s="52" t="s">
        <v>118</v>
      </c>
      <c r="V84" s="53">
        <v>5643054</v>
      </c>
      <c r="W84" s="88">
        <v>2372566</v>
      </c>
      <c r="X84" s="89">
        <v>3270488</v>
      </c>
    </row>
    <row r="85" spans="3:24" x14ac:dyDescent="0.2">
      <c r="C85" t="s">
        <v>285</v>
      </c>
      <c r="D85" s="225">
        <f t="shared" si="2"/>
        <v>86199.429000000004</v>
      </c>
      <c r="F85" t="str">
        <f t="shared" si="3"/>
        <v/>
      </c>
      <c r="G85" t="str">
        <f t="shared" si="4"/>
        <v/>
      </c>
      <c r="H85" t="str">
        <f t="shared" si="5"/>
        <v>Peralta</v>
      </c>
      <c r="I85" t="str">
        <f t="shared" si="6"/>
        <v/>
      </c>
      <c r="M85" t="s">
        <v>95</v>
      </c>
      <c r="N85" s="48">
        <v>2168284909</v>
      </c>
      <c r="O85" s="85">
        <v>1626691648</v>
      </c>
      <c r="P85" s="86">
        <v>541593261</v>
      </c>
      <c r="R85" t="s">
        <v>234</v>
      </c>
      <c r="S85" s="85">
        <v>2722635</v>
      </c>
      <c r="U85" t="s">
        <v>95</v>
      </c>
      <c r="V85" s="48">
        <v>2168284909</v>
      </c>
      <c r="W85" s="85">
        <v>1626691648</v>
      </c>
      <c r="X85" s="86">
        <v>541593261</v>
      </c>
    </row>
    <row r="86" spans="3:24" x14ac:dyDescent="0.2">
      <c r="C86" s="52" t="s">
        <v>176</v>
      </c>
      <c r="D86" s="225">
        <f t="shared" si="2"/>
        <v>208860.45</v>
      </c>
      <c r="F86" t="str">
        <f t="shared" si="3"/>
        <v/>
      </c>
      <c r="G86" t="str">
        <f t="shared" si="4"/>
        <v/>
      </c>
      <c r="H86" t="str">
        <f t="shared" si="5"/>
        <v/>
      </c>
      <c r="I86" t="str">
        <f t="shared" si="6"/>
        <v>Portales</v>
      </c>
      <c r="M86" s="52" t="s">
        <v>138</v>
      </c>
      <c r="N86" s="53">
        <v>584662171</v>
      </c>
      <c r="O86" s="88">
        <v>370383355</v>
      </c>
      <c r="P86" s="89">
        <v>214278816</v>
      </c>
      <c r="R86" s="52" t="s">
        <v>202</v>
      </c>
      <c r="S86" s="88">
        <v>2664009</v>
      </c>
      <c r="U86" s="52" t="s">
        <v>138</v>
      </c>
      <c r="V86" s="53">
        <v>584662171</v>
      </c>
      <c r="W86" s="88">
        <v>370383355</v>
      </c>
      <c r="X86" s="89">
        <v>214278816</v>
      </c>
    </row>
    <row r="87" spans="3:24" x14ac:dyDescent="0.2">
      <c r="C87" t="s">
        <v>173</v>
      </c>
      <c r="D87" s="225">
        <f t="shared" si="2"/>
        <v>43509.527999999998</v>
      </c>
      <c r="F87" t="str">
        <f t="shared" si="3"/>
        <v/>
      </c>
      <c r="G87" t="str">
        <f t="shared" si="4"/>
        <v/>
      </c>
      <c r="H87" t="str">
        <f t="shared" si="5"/>
        <v>Questa</v>
      </c>
      <c r="I87" t="str">
        <f t="shared" si="6"/>
        <v/>
      </c>
      <c r="M87" t="s">
        <v>140</v>
      </c>
      <c r="N87" s="48">
        <v>1608950</v>
      </c>
      <c r="O87" s="85">
        <v>1033822</v>
      </c>
      <c r="P87" s="86">
        <v>575128</v>
      </c>
      <c r="R87" s="52" t="s">
        <v>118</v>
      </c>
      <c r="S87" s="88">
        <v>2372566</v>
      </c>
      <c r="U87" t="s">
        <v>140</v>
      </c>
      <c r="V87" s="48">
        <v>1608950</v>
      </c>
      <c r="W87" s="85">
        <v>1033822</v>
      </c>
      <c r="X87" s="86">
        <v>575128</v>
      </c>
    </row>
    <row r="88" spans="3:24" x14ac:dyDescent="0.2">
      <c r="C88" s="52" t="s">
        <v>210</v>
      </c>
      <c r="D88" s="225">
        <f t="shared" si="2"/>
        <v>109808.889</v>
      </c>
      <c r="F88" t="str">
        <f t="shared" si="3"/>
        <v/>
      </c>
      <c r="G88" t="str">
        <f t="shared" si="4"/>
        <v/>
      </c>
      <c r="H88" t="str">
        <f t="shared" si="5"/>
        <v/>
      </c>
      <c r="I88" t="str">
        <f t="shared" si="6"/>
        <v>Raton</v>
      </c>
      <c r="M88" s="52" t="s">
        <v>226</v>
      </c>
      <c r="N88" s="53">
        <v>446024502</v>
      </c>
      <c r="O88" s="88">
        <v>340357853</v>
      </c>
      <c r="P88" s="89">
        <v>105666649</v>
      </c>
      <c r="R88" t="s">
        <v>133</v>
      </c>
      <c r="S88" s="85">
        <v>2163370</v>
      </c>
      <c r="U88" s="52" t="s">
        <v>226</v>
      </c>
      <c r="V88" s="53">
        <v>446024502</v>
      </c>
      <c r="W88" s="88">
        <v>340357853</v>
      </c>
      <c r="X88" s="89">
        <v>105666649</v>
      </c>
    </row>
    <row r="89" spans="3:24" x14ac:dyDescent="0.2">
      <c r="C89" t="s">
        <v>177</v>
      </c>
      <c r="D89" s="225">
        <f t="shared" si="2"/>
        <v>86351.004000000001</v>
      </c>
      <c r="F89" t="str">
        <f t="shared" si="3"/>
        <v/>
      </c>
      <c r="G89" t="str">
        <f t="shared" si="4"/>
        <v/>
      </c>
      <c r="H89" t="str">
        <f t="shared" si="5"/>
        <v>Red River</v>
      </c>
      <c r="I89" t="str">
        <f t="shared" si="6"/>
        <v/>
      </c>
      <c r="M89" t="s">
        <v>230</v>
      </c>
      <c r="N89" s="48">
        <v>46071339</v>
      </c>
      <c r="O89" s="85">
        <v>24050662</v>
      </c>
      <c r="P89" s="86">
        <v>22020677</v>
      </c>
      <c r="R89" t="s">
        <v>289</v>
      </c>
      <c r="S89" s="85">
        <v>2070765</v>
      </c>
      <c r="U89" t="s">
        <v>230</v>
      </c>
      <c r="V89" s="48">
        <v>46071339</v>
      </c>
      <c r="W89" s="85">
        <v>24050662</v>
      </c>
      <c r="X89" s="86">
        <v>22020677</v>
      </c>
    </row>
    <row r="90" spans="3:24" x14ac:dyDescent="0.2">
      <c r="C90" s="52" t="s">
        <v>118</v>
      </c>
      <c r="D90" s="225">
        <f t="shared" si="2"/>
        <v>7970.4650000000001</v>
      </c>
      <c r="F90" t="str">
        <f t="shared" si="3"/>
        <v/>
      </c>
      <c r="G90" t="str">
        <f t="shared" si="4"/>
        <v>Reserve</v>
      </c>
      <c r="I90" t="str">
        <f t="shared" si="6"/>
        <v/>
      </c>
      <c r="M90" s="52" t="s">
        <v>116</v>
      </c>
      <c r="N90" s="53">
        <v>1512673</v>
      </c>
      <c r="O90" s="88">
        <v>726081</v>
      </c>
      <c r="P90" s="89">
        <v>786592</v>
      </c>
      <c r="R90" t="s">
        <v>242</v>
      </c>
      <c r="S90" s="85">
        <v>1580105</v>
      </c>
      <c r="U90" s="52" t="s">
        <v>116</v>
      </c>
      <c r="V90" s="53">
        <v>1512673</v>
      </c>
      <c r="W90" s="88">
        <v>726081</v>
      </c>
      <c r="X90" s="89">
        <v>786592</v>
      </c>
    </row>
    <row r="91" spans="3:24" x14ac:dyDescent="0.2">
      <c r="C91" s="333" t="s">
        <v>459</v>
      </c>
      <c r="D91" s="225">
        <f t="shared" si="2"/>
        <v>110653.83</v>
      </c>
      <c r="F91" t="str">
        <f t="shared" si="3"/>
        <v/>
      </c>
      <c r="G91" t="str">
        <f t="shared" si="4"/>
        <v/>
      </c>
      <c r="H91" t="str">
        <f t="shared" si="5"/>
        <v/>
      </c>
      <c r="I91" t="str">
        <f t="shared" si="6"/>
        <v>Rio Communities</v>
      </c>
      <c r="M91" t="s">
        <v>242</v>
      </c>
      <c r="N91" s="48">
        <v>2760064</v>
      </c>
      <c r="O91" s="85">
        <v>1580105</v>
      </c>
      <c r="P91" s="86">
        <v>1179959</v>
      </c>
      <c r="R91" t="s">
        <v>219</v>
      </c>
      <c r="S91" s="85">
        <v>1538852</v>
      </c>
      <c r="U91" t="s">
        <v>242</v>
      </c>
      <c r="V91" s="48">
        <v>2760064</v>
      </c>
      <c r="W91" s="85">
        <v>1580105</v>
      </c>
      <c r="X91" s="86">
        <v>1179959</v>
      </c>
    </row>
    <row r="92" spans="3:24" x14ac:dyDescent="0.2">
      <c r="C92" t="s">
        <v>95</v>
      </c>
      <c r="D92" s="225">
        <f>D34/1000</f>
        <v>3793300.1090000002</v>
      </c>
      <c r="F92" t="str">
        <f t="shared" si="3"/>
        <v/>
      </c>
      <c r="G92" t="str">
        <f t="shared" si="4"/>
        <v/>
      </c>
      <c r="H92" t="str">
        <f t="shared" si="5"/>
        <v/>
      </c>
      <c r="I92" t="str">
        <f t="shared" si="6"/>
        <v>Rio Rancho</v>
      </c>
      <c r="M92" s="52" t="s">
        <v>114</v>
      </c>
      <c r="N92" s="53">
        <v>12030229</v>
      </c>
      <c r="O92" s="88">
        <v>9697492</v>
      </c>
      <c r="P92" s="89">
        <v>2332737</v>
      </c>
      <c r="R92" t="s">
        <v>237</v>
      </c>
      <c r="S92" s="85">
        <v>1157016</v>
      </c>
      <c r="U92" s="52" t="s">
        <v>114</v>
      </c>
      <c r="V92" s="53">
        <v>12030229</v>
      </c>
      <c r="W92" s="88">
        <v>9697492</v>
      </c>
      <c r="X92" s="89">
        <v>2332737</v>
      </c>
    </row>
    <row r="93" spans="3:24" x14ac:dyDescent="0.2">
      <c r="C93" s="52" t="s">
        <v>138</v>
      </c>
      <c r="D93" s="225">
        <f t="shared" ref="D93:D118" si="7">D35/1000</f>
        <v>959922.87800000003</v>
      </c>
      <c r="F93" t="str">
        <f t="shared" si="3"/>
        <v/>
      </c>
      <c r="G93" t="str">
        <f t="shared" si="4"/>
        <v/>
      </c>
      <c r="H93" t="str">
        <f t="shared" si="5"/>
        <v/>
      </c>
      <c r="I93" t="str">
        <f t="shared" si="6"/>
        <v>Roswell</v>
      </c>
      <c r="M93" t="s">
        <v>56</v>
      </c>
      <c r="N93" s="48">
        <v>3500660629</v>
      </c>
      <c r="O93" s="85">
        <v>2534474103</v>
      </c>
      <c r="P93" s="86">
        <v>966186526</v>
      </c>
      <c r="R93" t="s">
        <v>140</v>
      </c>
      <c r="S93" s="85">
        <v>1033822</v>
      </c>
      <c r="U93" t="s">
        <v>56</v>
      </c>
      <c r="V93" s="48">
        <v>3500660629</v>
      </c>
      <c r="W93" s="85">
        <v>2534474103</v>
      </c>
      <c r="X93" s="86">
        <v>966186526</v>
      </c>
    </row>
    <row r="94" spans="3:24" x14ac:dyDescent="0.2">
      <c r="C94" t="s">
        <v>140</v>
      </c>
      <c r="D94" s="225">
        <f t="shared" si="7"/>
        <v>2760.1190000000001</v>
      </c>
      <c r="F94" t="str">
        <f t="shared" si="3"/>
        <v/>
      </c>
      <c r="G94" t="str">
        <f t="shared" si="4"/>
        <v>Roy</v>
      </c>
      <c r="I94" t="str">
        <f t="shared" si="6"/>
        <v/>
      </c>
      <c r="M94" s="52" t="s">
        <v>127</v>
      </c>
      <c r="N94" s="53">
        <v>43211516</v>
      </c>
      <c r="O94" s="88">
        <v>13716300</v>
      </c>
      <c r="P94" s="89">
        <v>29495216</v>
      </c>
      <c r="R94" s="52" t="s">
        <v>214</v>
      </c>
      <c r="S94" s="88">
        <v>958755</v>
      </c>
      <c r="U94" s="52" t="s">
        <v>127</v>
      </c>
      <c r="V94" s="53">
        <v>43211516</v>
      </c>
      <c r="W94" s="88">
        <v>13716300</v>
      </c>
      <c r="X94" s="89">
        <v>29495216</v>
      </c>
    </row>
    <row r="95" spans="3:24" x14ac:dyDescent="0.2">
      <c r="C95" s="52" t="s">
        <v>226</v>
      </c>
      <c r="D95" s="225">
        <f t="shared" si="7"/>
        <v>708783.99600000004</v>
      </c>
      <c r="F95" t="str">
        <f t="shared" si="3"/>
        <v/>
      </c>
      <c r="G95" t="str">
        <f t="shared" si="4"/>
        <v/>
      </c>
      <c r="H95" t="str">
        <f t="shared" si="5"/>
        <v/>
      </c>
      <c r="I95" t="str">
        <f t="shared" si="6"/>
        <v>Ruidoso</v>
      </c>
      <c r="M95" t="s">
        <v>97</v>
      </c>
      <c r="N95" s="48">
        <v>186132056</v>
      </c>
      <c r="O95" s="85">
        <v>114246521</v>
      </c>
      <c r="P95" s="86">
        <v>71885535</v>
      </c>
      <c r="R95" t="s">
        <v>182</v>
      </c>
      <c r="S95" s="85">
        <v>934421</v>
      </c>
      <c r="U95" t="s">
        <v>97</v>
      </c>
      <c r="V95" s="48">
        <v>186132056</v>
      </c>
      <c r="W95" s="85">
        <v>114246521</v>
      </c>
      <c r="X95" s="86">
        <v>71885535</v>
      </c>
    </row>
    <row r="96" spans="3:24" x14ac:dyDescent="0.2">
      <c r="C96" t="s">
        <v>230</v>
      </c>
      <c r="D96" s="225">
        <f t="shared" si="7"/>
        <v>68427.942999999999</v>
      </c>
      <c r="F96" t="str">
        <f t="shared" si="3"/>
        <v/>
      </c>
      <c r="G96" t="str">
        <f t="shared" si="4"/>
        <v/>
      </c>
      <c r="H96" t="str">
        <f t="shared" si="5"/>
        <v>Ruidoso Downs</v>
      </c>
      <c r="I96" t="str">
        <f t="shared" si="6"/>
        <v/>
      </c>
      <c r="M96" s="52" t="s">
        <v>58</v>
      </c>
      <c r="N96" s="53">
        <v>97818049</v>
      </c>
      <c r="O96" s="88">
        <v>64369373</v>
      </c>
      <c r="P96" s="89">
        <v>33448676</v>
      </c>
      <c r="R96" s="52" t="s">
        <v>153</v>
      </c>
      <c r="S96" s="88">
        <v>909919</v>
      </c>
      <c r="U96" s="52" t="s">
        <v>58</v>
      </c>
      <c r="V96" s="53">
        <v>97818049</v>
      </c>
      <c r="W96" s="88">
        <v>64369373</v>
      </c>
      <c r="X96" s="89">
        <v>33448676</v>
      </c>
    </row>
    <row r="97" spans="3:31" x14ac:dyDescent="0.2">
      <c r="C97" s="52" t="s">
        <v>116</v>
      </c>
      <c r="D97" s="225">
        <f t="shared" si="7"/>
        <v>3372.8510000000001</v>
      </c>
      <c r="F97" t="str">
        <f t="shared" si="3"/>
        <v/>
      </c>
      <c r="G97" t="str">
        <f t="shared" si="4"/>
        <v>San Jon</v>
      </c>
      <c r="I97" t="str">
        <f t="shared" si="6"/>
        <v/>
      </c>
      <c r="M97" t="s">
        <v>216</v>
      </c>
      <c r="N97" s="48">
        <v>9797740</v>
      </c>
      <c r="O97" s="85">
        <v>7533398</v>
      </c>
      <c r="P97" s="86">
        <v>2264342</v>
      </c>
      <c r="R97" s="52" t="s">
        <v>116</v>
      </c>
      <c r="S97" s="88">
        <v>726081</v>
      </c>
      <c r="U97" t="s">
        <v>216</v>
      </c>
      <c r="V97" s="48">
        <v>9797740</v>
      </c>
      <c r="W97" s="85">
        <v>7533398</v>
      </c>
      <c r="X97" s="86">
        <v>2264342</v>
      </c>
    </row>
    <row r="98" spans="3:31" x14ac:dyDescent="0.2">
      <c r="C98" t="s">
        <v>242</v>
      </c>
      <c r="D98" s="225">
        <f t="shared" si="7"/>
        <v>5434.0829999999996</v>
      </c>
      <c r="F98" t="str">
        <f t="shared" si="3"/>
        <v/>
      </c>
      <c r="G98" t="str">
        <f t="shared" si="4"/>
        <v>San Ysidro</v>
      </c>
      <c r="I98" t="str">
        <f t="shared" si="6"/>
        <v/>
      </c>
      <c r="M98" s="52" t="s">
        <v>287</v>
      </c>
      <c r="N98" s="53">
        <v>146013137</v>
      </c>
      <c r="O98" s="88">
        <v>73072672</v>
      </c>
      <c r="P98" s="89">
        <v>72940465</v>
      </c>
      <c r="R98" t="s">
        <v>253</v>
      </c>
      <c r="S98" s="85">
        <v>702413</v>
      </c>
      <c r="U98" s="52" t="s">
        <v>287</v>
      </c>
      <c r="V98" s="53">
        <v>146013137</v>
      </c>
      <c r="W98" s="88">
        <v>73072672</v>
      </c>
      <c r="X98" s="89">
        <v>72940465</v>
      </c>
    </row>
    <row r="99" spans="3:31" x14ac:dyDescent="0.2">
      <c r="C99" s="52" t="s">
        <v>114</v>
      </c>
      <c r="D99" s="225">
        <f t="shared" si="7"/>
        <v>16599.517</v>
      </c>
      <c r="F99" t="str">
        <f t="shared" si="3"/>
        <v/>
      </c>
      <c r="G99" t="str">
        <f t="shared" si="4"/>
        <v/>
      </c>
      <c r="H99" t="str">
        <f t="shared" si="5"/>
        <v>Santa Clara</v>
      </c>
      <c r="I99" t="str">
        <f t="shared" si="6"/>
        <v/>
      </c>
      <c r="M99" t="s">
        <v>124</v>
      </c>
      <c r="N99" s="48">
        <v>87161078</v>
      </c>
      <c r="O99" s="85">
        <v>53045757</v>
      </c>
      <c r="P99" s="86">
        <v>34115321</v>
      </c>
      <c r="R99" t="s">
        <v>199</v>
      </c>
      <c r="S99" s="85">
        <v>517596</v>
      </c>
      <c r="U99" t="s">
        <v>124</v>
      </c>
      <c r="V99" s="48">
        <v>87161078</v>
      </c>
      <c r="W99" s="85">
        <v>53045757</v>
      </c>
      <c r="X99" s="86">
        <v>34115321</v>
      </c>
    </row>
    <row r="100" spans="3:31" x14ac:dyDescent="0.2">
      <c r="C100" t="s">
        <v>56</v>
      </c>
      <c r="D100" s="225">
        <f t="shared" si="7"/>
        <v>6004448.6979999999</v>
      </c>
      <c r="F100" t="str">
        <f t="shared" si="3"/>
        <v/>
      </c>
      <c r="G100" t="str">
        <f t="shared" si="4"/>
        <v/>
      </c>
      <c r="H100" t="str">
        <f t="shared" si="5"/>
        <v/>
      </c>
      <c r="I100" t="str">
        <f t="shared" si="6"/>
        <v>Santa Fe</v>
      </c>
      <c r="M100" s="52" t="s">
        <v>59</v>
      </c>
      <c r="N100" s="53">
        <v>301512907</v>
      </c>
      <c r="O100" s="88">
        <v>150086720</v>
      </c>
      <c r="P100" s="89">
        <v>151426187</v>
      </c>
      <c r="R100" s="52" t="s">
        <v>167</v>
      </c>
      <c r="S100" s="88">
        <v>512835</v>
      </c>
      <c r="U100" s="52" t="s">
        <v>59</v>
      </c>
      <c r="V100" s="53">
        <v>301512907</v>
      </c>
      <c r="W100" s="88">
        <v>150086720</v>
      </c>
      <c r="X100" s="89">
        <v>151426187</v>
      </c>
    </row>
    <row r="101" spans="3:31" x14ac:dyDescent="0.2">
      <c r="C101" s="52" t="s">
        <v>127</v>
      </c>
      <c r="D101" s="225">
        <f t="shared" si="7"/>
        <v>58259.402000000002</v>
      </c>
      <c r="F101" t="str">
        <f t="shared" si="3"/>
        <v/>
      </c>
      <c r="G101" t="str">
        <f t="shared" si="4"/>
        <v/>
      </c>
      <c r="H101" t="str">
        <f t="shared" si="5"/>
        <v>Santa Rosa</v>
      </c>
      <c r="I101" t="str">
        <f t="shared" si="6"/>
        <v/>
      </c>
      <c r="M101" t="s">
        <v>184</v>
      </c>
      <c r="N101" s="48">
        <v>58495356</v>
      </c>
      <c r="O101" s="85">
        <v>21445059</v>
      </c>
      <c r="P101" s="86">
        <v>37050297</v>
      </c>
      <c r="R101" s="52" t="s">
        <v>228</v>
      </c>
      <c r="S101" s="88">
        <v>440981</v>
      </c>
      <c r="U101" t="s">
        <v>184</v>
      </c>
      <c r="V101" s="48">
        <v>58495356</v>
      </c>
      <c r="W101" s="85">
        <v>21445059</v>
      </c>
      <c r="X101" s="86">
        <v>37050297</v>
      </c>
    </row>
    <row r="102" spans="3:31" x14ac:dyDescent="0.2">
      <c r="C102" t="s">
        <v>97</v>
      </c>
      <c r="D102" s="225">
        <f t="shared" si="7"/>
        <v>244254.76800000001</v>
      </c>
      <c r="F102" t="str">
        <f t="shared" si="3"/>
        <v/>
      </c>
      <c r="G102" t="str">
        <f t="shared" si="4"/>
        <v/>
      </c>
      <c r="H102" t="str">
        <f t="shared" si="5"/>
        <v/>
      </c>
      <c r="I102" t="str">
        <f t="shared" si="6"/>
        <v>Silver City</v>
      </c>
      <c r="M102" s="52" t="s">
        <v>202</v>
      </c>
      <c r="N102" s="53">
        <v>4570455</v>
      </c>
      <c r="O102" s="88">
        <v>2664009</v>
      </c>
      <c r="P102" s="89">
        <v>1906446</v>
      </c>
      <c r="R102" s="52" t="s">
        <v>146</v>
      </c>
      <c r="S102" s="88">
        <v>418869</v>
      </c>
      <c r="U102" s="52" t="s">
        <v>202</v>
      </c>
      <c r="V102" s="53">
        <v>4570455</v>
      </c>
      <c r="W102" s="88">
        <v>2664009</v>
      </c>
      <c r="X102" s="89">
        <v>1906446</v>
      </c>
      <c r="AE102" s="313"/>
    </row>
    <row r="103" spans="3:31" x14ac:dyDescent="0.2">
      <c r="C103" s="52" t="s">
        <v>58</v>
      </c>
      <c r="D103" s="225">
        <f t="shared" si="7"/>
        <v>154508.008</v>
      </c>
      <c r="F103" t="str">
        <f t="shared" si="3"/>
        <v/>
      </c>
      <c r="G103" t="str">
        <f t="shared" si="4"/>
        <v/>
      </c>
      <c r="H103" t="str">
        <f t="shared" si="5"/>
        <v/>
      </c>
      <c r="I103" t="str">
        <f t="shared" si="6"/>
        <v>Socorro</v>
      </c>
      <c r="M103" t="s">
        <v>248</v>
      </c>
      <c r="N103" s="48">
        <v>5491486</v>
      </c>
      <c r="O103" s="85">
        <v>3535067</v>
      </c>
      <c r="P103" s="86">
        <v>1956419</v>
      </c>
      <c r="R103" t="s">
        <v>78</v>
      </c>
      <c r="S103" s="85">
        <v>413376</v>
      </c>
      <c r="U103" t="s">
        <v>248</v>
      </c>
      <c r="V103" s="48">
        <v>5491486</v>
      </c>
      <c r="W103" s="85">
        <v>3535067</v>
      </c>
      <c r="X103" s="86">
        <v>1956419</v>
      </c>
    </row>
    <row r="104" spans="3:31" x14ac:dyDescent="0.2">
      <c r="C104" t="s">
        <v>216</v>
      </c>
      <c r="D104" s="225">
        <f t="shared" si="7"/>
        <v>12765.699000000001</v>
      </c>
      <c r="F104" t="str">
        <f t="shared" si="3"/>
        <v/>
      </c>
      <c r="G104" t="str">
        <f t="shared" si="4"/>
        <v/>
      </c>
      <c r="H104" t="str">
        <f t="shared" si="5"/>
        <v>Springer</v>
      </c>
      <c r="I104" t="str">
        <f t="shared" si="6"/>
        <v/>
      </c>
      <c r="M104" s="52" t="s">
        <v>86</v>
      </c>
      <c r="N104" s="53">
        <v>10363770</v>
      </c>
      <c r="O104" s="88">
        <v>7178416</v>
      </c>
      <c r="P104" s="89">
        <v>3185354</v>
      </c>
      <c r="R104" s="52" t="s">
        <v>258</v>
      </c>
      <c r="S104" s="88">
        <v>394851</v>
      </c>
      <c r="U104" s="52" t="s">
        <v>86</v>
      </c>
      <c r="V104" s="53">
        <v>10363770</v>
      </c>
      <c r="W104" s="88">
        <v>7178416</v>
      </c>
      <c r="X104" s="89">
        <v>3185354</v>
      </c>
    </row>
    <row r="105" spans="3:31" x14ac:dyDescent="0.2">
      <c r="C105" s="52" t="s">
        <v>287</v>
      </c>
      <c r="D105" s="225">
        <f t="shared" si="7"/>
        <v>455725.38</v>
      </c>
      <c r="F105" t="str">
        <f t="shared" si="3"/>
        <v/>
      </c>
      <c r="G105" t="str">
        <f t="shared" si="4"/>
        <v/>
      </c>
      <c r="H105" t="str">
        <f t="shared" si="5"/>
        <v/>
      </c>
      <c r="I105" t="str">
        <f t="shared" si="6"/>
        <v>Sunland Park</v>
      </c>
      <c r="M105" t="s">
        <v>99</v>
      </c>
      <c r="N105" s="48">
        <v>49691093</v>
      </c>
      <c r="O105" s="85">
        <v>23231378</v>
      </c>
      <c r="P105" s="86">
        <v>26459715</v>
      </c>
      <c r="R105" s="52" t="s">
        <v>105</v>
      </c>
      <c r="S105" s="88">
        <v>374593</v>
      </c>
      <c r="U105" t="s">
        <v>99</v>
      </c>
      <c r="V105" s="48">
        <v>49691093</v>
      </c>
      <c r="W105" s="85">
        <v>23231378</v>
      </c>
      <c r="X105" s="86">
        <v>26459715</v>
      </c>
    </row>
    <row r="106" spans="3:31" x14ac:dyDescent="0.2">
      <c r="C106" s="321" t="s">
        <v>59</v>
      </c>
      <c r="D106" s="225">
        <f t="shared" si="7"/>
        <v>410705.54700000002</v>
      </c>
      <c r="F106" t="str">
        <f t="shared" si="3"/>
        <v/>
      </c>
      <c r="G106" t="str">
        <f t="shared" si="4"/>
        <v/>
      </c>
      <c r="H106" t="str">
        <f t="shared" si="5"/>
        <v/>
      </c>
      <c r="I106" t="str">
        <f t="shared" si="6"/>
        <v>Taos</v>
      </c>
      <c r="M106" s="52" t="s">
        <v>308</v>
      </c>
      <c r="N106" s="53">
        <v>26877194</v>
      </c>
      <c r="O106" s="88">
        <v>19189141</v>
      </c>
      <c r="P106" s="89">
        <v>7688053</v>
      </c>
      <c r="R106" t="s">
        <v>189</v>
      </c>
      <c r="S106" s="85">
        <v>373081</v>
      </c>
      <c r="U106" s="52" t="s">
        <v>308</v>
      </c>
      <c r="V106" s="53">
        <v>26877194</v>
      </c>
      <c r="W106" s="88">
        <v>19189141</v>
      </c>
      <c r="X106" s="89">
        <v>7688053</v>
      </c>
    </row>
    <row r="107" spans="3:31" x14ac:dyDescent="0.2">
      <c r="C107" s="52" t="s">
        <v>184</v>
      </c>
      <c r="D107" s="225">
        <f t="shared" si="7"/>
        <v>137828.978</v>
      </c>
      <c r="F107" t="str">
        <f t="shared" si="3"/>
        <v/>
      </c>
      <c r="G107" t="str">
        <f t="shared" si="4"/>
        <v/>
      </c>
      <c r="H107" t="str">
        <f t="shared" si="5"/>
        <v/>
      </c>
      <c r="I107" t="str">
        <f t="shared" si="6"/>
        <v>Taos Ski Valley</v>
      </c>
      <c r="M107" t="s">
        <v>133</v>
      </c>
      <c r="N107" s="48">
        <v>6315498</v>
      </c>
      <c r="O107" s="85">
        <v>2163370</v>
      </c>
      <c r="P107" s="86">
        <v>4152128</v>
      </c>
      <c r="R107" t="s">
        <v>255</v>
      </c>
      <c r="S107" s="85">
        <v>342101</v>
      </c>
      <c r="U107" t="s">
        <v>133</v>
      </c>
      <c r="V107" s="48">
        <v>6315498</v>
      </c>
      <c r="W107" s="85">
        <v>2163370</v>
      </c>
      <c r="X107" s="86">
        <v>4152128</v>
      </c>
    </row>
    <row r="108" spans="3:31" x14ac:dyDescent="0.2">
      <c r="C108" t="s">
        <v>202</v>
      </c>
      <c r="D108" s="225">
        <f t="shared" si="7"/>
        <v>11125.118</v>
      </c>
      <c r="F108" t="str">
        <f t="shared" si="3"/>
        <v/>
      </c>
      <c r="G108" t="str">
        <f t="shared" si="4"/>
        <v/>
      </c>
      <c r="H108" t="str">
        <f t="shared" si="5"/>
        <v>Tatum</v>
      </c>
      <c r="I108" t="str">
        <f t="shared" si="6"/>
        <v/>
      </c>
      <c r="M108" s="52" t="s">
        <v>167</v>
      </c>
      <c r="N108" s="53">
        <v>872844</v>
      </c>
      <c r="O108" s="88">
        <v>512835</v>
      </c>
      <c r="P108" s="89">
        <v>360009</v>
      </c>
      <c r="R108" s="52" t="s">
        <v>193</v>
      </c>
      <c r="S108" s="88">
        <v>194451</v>
      </c>
      <c r="U108" s="52" t="s">
        <v>167</v>
      </c>
      <c r="V108" s="53">
        <v>872844</v>
      </c>
      <c r="W108" s="88">
        <v>512835</v>
      </c>
      <c r="X108" s="89">
        <v>360009</v>
      </c>
    </row>
    <row r="109" spans="3:31" x14ac:dyDescent="0.2">
      <c r="C109" s="52" t="s">
        <v>248</v>
      </c>
      <c r="D109" s="225">
        <f t="shared" si="7"/>
        <v>10394.857</v>
      </c>
      <c r="F109" t="str">
        <f t="shared" si="3"/>
        <v/>
      </c>
      <c r="G109" t="str">
        <f t="shared" si="4"/>
        <v>Texico</v>
      </c>
      <c r="I109" t="str">
        <f t="shared" si="6"/>
        <v/>
      </c>
      <c r="M109" t="s">
        <v>289</v>
      </c>
      <c r="N109" s="48">
        <v>4044953</v>
      </c>
      <c r="O109" s="85">
        <v>2070765</v>
      </c>
      <c r="P109" s="86">
        <v>1974188</v>
      </c>
      <c r="R109" t="s">
        <v>261</v>
      </c>
      <c r="S109" s="85">
        <v>115848</v>
      </c>
      <c r="U109" t="s">
        <v>289</v>
      </c>
      <c r="V109" s="48">
        <v>4044953</v>
      </c>
      <c r="W109" s="85">
        <v>2070765</v>
      </c>
      <c r="X109" s="86">
        <v>1974188</v>
      </c>
    </row>
    <row r="110" spans="3:31" x14ac:dyDescent="0.2">
      <c r="C110" t="s">
        <v>86</v>
      </c>
      <c r="D110" s="225">
        <f t="shared" si="7"/>
        <v>25222.005000000001</v>
      </c>
      <c r="F110" t="str">
        <f t="shared" si="3"/>
        <v/>
      </c>
      <c r="G110" t="str">
        <f t="shared" si="4"/>
        <v/>
      </c>
      <c r="H110" t="s">
        <v>86</v>
      </c>
      <c r="I110" t="str">
        <f t="shared" si="6"/>
        <v/>
      </c>
      <c r="M110" s="52" t="s">
        <v>214</v>
      </c>
      <c r="N110" s="53">
        <v>1560361</v>
      </c>
      <c r="O110" s="88">
        <v>958755</v>
      </c>
      <c r="P110" s="89">
        <v>601606</v>
      </c>
      <c r="S110" s="117"/>
      <c r="U110" s="52" t="s">
        <v>214</v>
      </c>
      <c r="V110" s="53">
        <v>1560361</v>
      </c>
      <c r="W110" s="88">
        <v>958755</v>
      </c>
      <c r="X110" s="89">
        <v>601606</v>
      </c>
    </row>
    <row r="111" spans="3:31" x14ac:dyDescent="0.2">
      <c r="C111" s="52" t="s">
        <v>553</v>
      </c>
      <c r="D111" s="225">
        <f t="shared" si="7"/>
        <v>123503.93</v>
      </c>
      <c r="F111" t="str">
        <f t="shared" si="3"/>
        <v/>
      </c>
      <c r="G111" t="str">
        <f t="shared" si="4"/>
        <v/>
      </c>
      <c r="H111" t="str">
        <f t="shared" si="5"/>
        <v/>
      </c>
      <c r="I111" t="str">
        <f t="shared" si="6"/>
        <v>Truth or Consequences</v>
      </c>
      <c r="M111" t="s">
        <v>130</v>
      </c>
      <c r="N111" s="48">
        <v>5024064</v>
      </c>
      <c r="O111" s="85">
        <v>3644684</v>
      </c>
      <c r="P111" s="86">
        <v>1379380</v>
      </c>
      <c r="S111" s="117"/>
      <c r="U111" t="s">
        <v>130</v>
      </c>
      <c r="V111" s="48">
        <v>5024064</v>
      </c>
      <c r="W111" s="85">
        <v>3644684</v>
      </c>
      <c r="X111" s="86">
        <v>1379380</v>
      </c>
    </row>
    <row r="112" spans="3:31" ht="13.5" thickBot="1" x14ac:dyDescent="0.25">
      <c r="C112" t="s">
        <v>99</v>
      </c>
      <c r="D112" s="225">
        <f t="shared" si="7"/>
        <v>88897.948999999993</v>
      </c>
      <c r="F112" t="str">
        <f t="shared" si="3"/>
        <v/>
      </c>
      <c r="G112" t="str">
        <f t="shared" si="4"/>
        <v/>
      </c>
      <c r="H112" t="str">
        <f t="shared" si="5"/>
        <v>Tucumcari</v>
      </c>
      <c r="I112" t="str">
        <f t="shared" si="6"/>
        <v/>
      </c>
      <c r="M112" s="75" t="s">
        <v>0</v>
      </c>
      <c r="N112" s="116">
        <v>29026829932</v>
      </c>
      <c r="O112" s="92">
        <v>20109564496</v>
      </c>
      <c r="P112" s="93">
        <v>8738523610</v>
      </c>
      <c r="R112" s="75" t="s">
        <v>0</v>
      </c>
      <c r="S112" s="92">
        <v>20109564496</v>
      </c>
      <c r="U112" s="75" t="s">
        <v>0</v>
      </c>
      <c r="V112" s="116">
        <v>29026829932</v>
      </c>
      <c r="W112" s="92">
        <v>20109564496</v>
      </c>
      <c r="X112" s="93">
        <v>8738523610</v>
      </c>
    </row>
    <row r="113" spans="3:10" x14ac:dyDescent="0.2">
      <c r="C113" s="52" t="s">
        <v>308</v>
      </c>
      <c r="D113" s="225">
        <f t="shared" si="7"/>
        <v>43639.025000000001</v>
      </c>
      <c r="F113" t="str">
        <f t="shared" si="3"/>
        <v/>
      </c>
      <c r="G113" t="str">
        <f t="shared" si="4"/>
        <v/>
      </c>
      <c r="H113" t="str">
        <f t="shared" si="5"/>
        <v>Tularosa</v>
      </c>
      <c r="I113" t="str">
        <f t="shared" si="6"/>
        <v/>
      </c>
    </row>
    <row r="114" spans="3:10" x14ac:dyDescent="0.2">
      <c r="C114" t="s">
        <v>133</v>
      </c>
      <c r="D114" s="225">
        <f t="shared" si="7"/>
        <v>10747.282999999999</v>
      </c>
      <c r="F114" t="str">
        <f t="shared" si="3"/>
        <v/>
      </c>
      <c r="G114" t="str">
        <f t="shared" si="4"/>
        <v>Vaughn</v>
      </c>
      <c r="I114" t="str">
        <f t="shared" si="6"/>
        <v/>
      </c>
    </row>
    <row r="115" spans="3:10" x14ac:dyDescent="0.2">
      <c r="C115" s="52" t="s">
        <v>167</v>
      </c>
      <c r="D115" s="225">
        <f t="shared" si="7"/>
        <v>1344.4839999999999</v>
      </c>
      <c r="F115" t="str">
        <f t="shared" si="3"/>
        <v/>
      </c>
      <c r="G115" t="str">
        <f t="shared" si="4"/>
        <v>Virden</v>
      </c>
      <c r="H115" s="321"/>
      <c r="I115" t="str">
        <f t="shared" si="6"/>
        <v/>
      </c>
    </row>
    <row r="116" spans="3:10" x14ac:dyDescent="0.2">
      <c r="C116" t="s">
        <v>289</v>
      </c>
      <c r="D116" s="225">
        <f t="shared" si="7"/>
        <v>6953.8670000000002</v>
      </c>
      <c r="F116" t="str">
        <f t="shared" si="3"/>
        <v/>
      </c>
      <c r="G116" t="str">
        <f t="shared" si="4"/>
        <v>Wagon Mound</v>
      </c>
      <c r="I116" t="str">
        <f t="shared" si="6"/>
        <v/>
      </c>
    </row>
    <row r="117" spans="3:10" x14ac:dyDescent="0.2">
      <c r="C117" s="52" t="s">
        <v>214</v>
      </c>
      <c r="D117" s="225">
        <f t="shared" si="7"/>
        <v>2452.2069999999999</v>
      </c>
      <c r="F117" t="str">
        <f t="shared" si="3"/>
        <v/>
      </c>
      <c r="G117" t="str">
        <f t="shared" si="4"/>
        <v>Willard</v>
      </c>
      <c r="I117" t="str">
        <f t="shared" si="6"/>
        <v/>
      </c>
    </row>
    <row r="118" spans="3:10" x14ac:dyDescent="0.2">
      <c r="C118" t="s">
        <v>130</v>
      </c>
      <c r="D118" s="225">
        <f t="shared" si="7"/>
        <v>6618.3940000000002</v>
      </c>
      <c r="F118" s="392" t="str">
        <f t="shared" si="3"/>
        <v/>
      </c>
      <c r="G118" s="392" t="str">
        <f t="shared" si="4"/>
        <v>Williamsburg</v>
      </c>
      <c r="H118" s="392"/>
      <c r="I118" s="392" t="str">
        <f t="shared" si="6"/>
        <v/>
      </c>
      <c r="J118" s="112"/>
    </row>
    <row r="119" spans="3:10" x14ac:dyDescent="0.2">
      <c r="E119" t="s">
        <v>455</v>
      </c>
      <c r="F119" s="137">
        <f>$D$120-COUNTBLANK(F67:F118)</f>
        <v>0</v>
      </c>
      <c r="G119" s="137">
        <f t="shared" ref="G119:I119" si="8">$D$120-COUNTBLANK(G67:G118)</f>
        <v>14</v>
      </c>
      <c r="H119" s="137">
        <f t="shared" si="8"/>
        <v>19</v>
      </c>
      <c r="I119" s="137">
        <f t="shared" si="8"/>
        <v>19</v>
      </c>
      <c r="J119" s="425">
        <f>SUM(F119:I119)</f>
        <v>52</v>
      </c>
    </row>
    <row r="120" spans="3:10" ht="13.5" thickBot="1" x14ac:dyDescent="0.25">
      <c r="C120" s="372" t="s">
        <v>510</v>
      </c>
      <c r="D120" s="373">
        <f>COUNT(D66:D118)</f>
        <v>52</v>
      </c>
      <c r="J120" s="318" t="str">
        <f>IF(D120=J119,"OK","Error")</f>
        <v>OK</v>
      </c>
    </row>
    <row r="121" spans="3:10" ht="13.5" thickBot="1" x14ac:dyDescent="0.25">
      <c r="E121" s="314" t="s">
        <v>456</v>
      </c>
      <c r="F121" s="558">
        <f>F119+'Table 20 part 1'!G122</f>
        <v>2</v>
      </c>
      <c r="G121" s="615">
        <f>G119+'Table 20 part 1'!H122</f>
        <v>26</v>
      </c>
      <c r="H121" s="616">
        <f>H119+'Table 20 part 1'!I122</f>
        <v>40</v>
      </c>
      <c r="I121" s="615">
        <f>I119+'Table 20 part 1'!J122</f>
        <v>38</v>
      </c>
      <c r="J121" s="315">
        <f>SUM(F121:I121)</f>
        <v>106</v>
      </c>
    </row>
    <row r="122" spans="3:10" x14ac:dyDescent="0.2">
      <c r="J122" s="318" t="str">
        <f>IF(J121=(D120+'Table 20 part 1'!D123),"OK","ERROR")</f>
        <v>OK</v>
      </c>
    </row>
  </sheetData>
  <mergeCells count="1">
    <mergeCell ref="C64:J64"/>
  </mergeCells>
  <phoneticPr fontId="38" type="noConversion"/>
  <printOptions horizontalCentered="1" verticalCentered="1"/>
  <pageMargins left="0.5" right="0.5" top="0.5" bottom="0.5" header="0" footer="0"/>
  <pageSetup scale="67" orientation="portrait" r:id="rId1"/>
  <headerFooter alignWithMargins="0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B050"/>
    <pageSetUpPr fitToPage="1"/>
  </sheetPr>
  <dimension ref="C1:AH113"/>
  <sheetViews>
    <sheetView showGridLines="0" showZeros="0" view="pageBreakPreview" zoomScaleNormal="100" zoomScaleSheetLayoutView="100" workbookViewId="0">
      <selection activeCell="Y22" sqref="Y22"/>
    </sheetView>
  </sheetViews>
  <sheetFormatPr defaultRowHeight="12.75" x14ac:dyDescent="0.2"/>
  <cols>
    <col min="3" max="3" width="16.85546875" customWidth="1"/>
    <col min="4" max="4" width="16.140625" customWidth="1"/>
    <col min="5" max="5" width="14.42578125" customWidth="1"/>
    <col min="6" max="6" width="18" customWidth="1"/>
    <col min="7" max="7" width="15.5703125" customWidth="1"/>
    <col min="8" max="8" width="11.85546875" bestFit="1" customWidth="1"/>
    <col min="9" max="9" width="16.5703125" bestFit="1" customWidth="1"/>
    <col min="10" max="10" width="11.42578125" customWidth="1"/>
    <col min="13" max="13" width="11.42578125" hidden="1" customWidth="1"/>
    <col min="14" max="14" width="12.7109375" hidden="1" customWidth="1"/>
    <col min="15" max="15" width="15.7109375" hidden="1" customWidth="1"/>
    <col min="16" max="16" width="11.85546875" hidden="1" customWidth="1"/>
    <col min="17" max="17" width="14.140625" style="169" hidden="1" customWidth="1"/>
    <col min="18" max="21" width="0" hidden="1" customWidth="1"/>
    <col min="26" max="26" width="24.42578125" customWidth="1"/>
    <col min="27" max="27" width="7.28515625" customWidth="1"/>
  </cols>
  <sheetData>
    <row r="1" spans="3:34" ht="15" x14ac:dyDescent="0.25">
      <c r="C1" s="82" t="s">
        <v>437</v>
      </c>
    </row>
    <row r="2" spans="3:34" ht="15" x14ac:dyDescent="0.25">
      <c r="C2" s="73" t="s">
        <v>491</v>
      </c>
      <c r="F2" s="73" t="str">
        <f>'table 1 &amp; 2'!C2</f>
        <v>2025 Tax Year</v>
      </c>
    </row>
    <row r="3" spans="3:34" ht="10.5" customHeight="1" x14ac:dyDescent="0.2"/>
    <row r="4" spans="3:34" ht="16.5" x14ac:dyDescent="0.25">
      <c r="C4" s="76" t="s">
        <v>329</v>
      </c>
    </row>
    <row r="5" spans="3:34" ht="15.75" x14ac:dyDescent="0.25">
      <c r="C5" s="3" t="s">
        <v>515</v>
      </c>
      <c r="D5" s="7"/>
      <c r="E5" s="7"/>
      <c r="F5" s="7"/>
      <c r="G5" s="7"/>
      <c r="H5" s="7"/>
      <c r="I5" s="3" t="str">
        <f>F2</f>
        <v>2025 Tax Year</v>
      </c>
      <c r="J5" s="7"/>
    </row>
    <row r="6" spans="3:34" ht="6" customHeight="1" x14ac:dyDescent="0.2">
      <c r="C6" s="7"/>
      <c r="D6" s="7"/>
      <c r="E6" s="7"/>
      <c r="F6" s="7"/>
      <c r="G6" s="7"/>
      <c r="H6" s="7"/>
      <c r="I6" s="7"/>
      <c r="J6" s="7"/>
    </row>
    <row r="7" spans="3:34" x14ac:dyDescent="0.2">
      <c r="C7" s="6"/>
      <c r="D7" s="6"/>
      <c r="E7" s="117"/>
      <c r="G7" s="21"/>
      <c r="H7" s="81" t="s">
        <v>335</v>
      </c>
      <c r="I7" s="6"/>
      <c r="J7" s="6"/>
      <c r="Q7" s="169">
        <f>SUM(Q8:Q112)</f>
        <v>137560404.02470532</v>
      </c>
    </row>
    <row r="8" spans="3:34" ht="13.5" thickBot="1" x14ac:dyDescent="0.25">
      <c r="C8" s="23" t="s">
        <v>75</v>
      </c>
      <c r="D8" s="67" t="s">
        <v>338</v>
      </c>
      <c r="E8" s="220" t="s">
        <v>9</v>
      </c>
      <c r="F8" s="67" t="s">
        <v>28</v>
      </c>
      <c r="G8" s="24" t="s">
        <v>337</v>
      </c>
      <c r="H8" s="25" t="s">
        <v>403</v>
      </c>
      <c r="I8" s="24" t="s">
        <v>10</v>
      </c>
      <c r="J8" s="67" t="s">
        <v>29</v>
      </c>
      <c r="P8" t="s">
        <v>76</v>
      </c>
      <c r="Q8" s="169">
        <v>73572763.886112005</v>
      </c>
      <c r="R8">
        <f>+Q8/Q7*100</f>
        <v>53.483969029996899</v>
      </c>
    </row>
    <row r="9" spans="3:34" x14ac:dyDescent="0.2">
      <c r="C9" s="52" t="s">
        <v>303</v>
      </c>
      <c r="D9" s="53">
        <f>G9+J9</f>
        <v>4110568.87</v>
      </c>
      <c r="E9" s="242">
        <v>2756604.32</v>
      </c>
      <c r="F9" s="241">
        <v>1353964.55</v>
      </c>
      <c r="G9" s="89">
        <f>SUM(E9:F9)</f>
        <v>4110568.87</v>
      </c>
      <c r="H9" s="90"/>
      <c r="I9" s="80"/>
      <c r="J9" s="80">
        <f>SUM(H9:I9)</f>
        <v>0</v>
      </c>
      <c r="M9" t="s">
        <v>303</v>
      </c>
      <c r="N9">
        <v>2501293.2214560001</v>
      </c>
      <c r="P9" t="s">
        <v>95</v>
      </c>
      <c r="Q9" s="169">
        <v>11364187.015395999</v>
      </c>
      <c r="R9">
        <f>+Q9/Q7*100</f>
        <v>8.2612341072762732</v>
      </c>
      <c r="AC9" s="606" t="s">
        <v>608</v>
      </c>
      <c r="AD9" s="569"/>
      <c r="AE9" s="569"/>
      <c r="AF9" s="569"/>
      <c r="AG9" s="569"/>
      <c r="AH9" s="570"/>
    </row>
    <row r="10" spans="3:34" x14ac:dyDescent="0.2">
      <c r="C10" t="s">
        <v>76</v>
      </c>
      <c r="D10" s="48">
        <f>G10+J10</f>
        <v>112803951.66</v>
      </c>
      <c r="E10" s="85">
        <v>87048985.840000004</v>
      </c>
      <c r="F10" s="86">
        <v>25754965.82</v>
      </c>
      <c r="G10" s="86">
        <f t="shared" ref="G10:G62" si="0">SUM(E10:F10)</f>
        <v>112803951.66</v>
      </c>
      <c r="H10" s="193"/>
      <c r="I10" s="79"/>
      <c r="J10" s="79">
        <f t="shared" ref="J10:J62" si="1">SUM(H10:I10)</f>
        <v>0</v>
      </c>
      <c r="M10" t="s">
        <v>76</v>
      </c>
      <c r="N10">
        <v>73572763.886112005</v>
      </c>
      <c r="P10" t="s">
        <v>279</v>
      </c>
      <c r="Q10" s="169">
        <v>8901280.7474450003</v>
      </c>
      <c r="AC10" s="589" t="s">
        <v>609</v>
      </c>
      <c r="AD10" s="560"/>
      <c r="AE10" s="560"/>
      <c r="AF10" s="560"/>
      <c r="AG10" s="560"/>
      <c r="AH10" s="617">
        <f>ROUNDDOWN('Table 21 part B'!D61/1000000,1)</f>
        <v>240.6</v>
      </c>
    </row>
    <row r="11" spans="3:34" x14ac:dyDescent="0.2">
      <c r="C11" s="52" t="s">
        <v>206</v>
      </c>
      <c r="D11" s="53">
        <f t="shared" ref="D11:D62" si="2">G11+J11</f>
        <v>1951659.32</v>
      </c>
      <c r="E11" s="88">
        <v>1535772.52</v>
      </c>
      <c r="F11" s="89">
        <v>415886.8</v>
      </c>
      <c r="G11" s="89">
        <f t="shared" si="0"/>
        <v>1951659.32</v>
      </c>
      <c r="H11" s="90"/>
      <c r="I11" s="80"/>
      <c r="J11" s="80">
        <f t="shared" si="1"/>
        <v>0</v>
      </c>
      <c r="M11" t="s">
        <v>206</v>
      </c>
      <c r="N11">
        <v>1154716.279906</v>
      </c>
      <c r="P11" t="s">
        <v>56</v>
      </c>
      <c r="Q11" s="169">
        <v>5058585.9192990009</v>
      </c>
      <c r="AC11" s="589" t="s">
        <v>610</v>
      </c>
      <c r="AD11" s="560"/>
      <c r="AE11" s="560"/>
      <c r="AF11" s="560"/>
      <c r="AG11" s="560"/>
      <c r="AH11" s="617">
        <f>ROUNDDOWN(D10/1000000,1)</f>
        <v>112.8</v>
      </c>
    </row>
    <row r="12" spans="3:34" x14ac:dyDescent="0.2">
      <c r="C12" s="321" t="s">
        <v>441</v>
      </c>
      <c r="D12" s="48">
        <f t="shared" si="2"/>
        <v>276101.75</v>
      </c>
      <c r="E12" s="85">
        <v>198129.48</v>
      </c>
      <c r="F12" s="86">
        <v>77972.27</v>
      </c>
      <c r="G12" s="86">
        <f t="shared" si="0"/>
        <v>276101.75</v>
      </c>
      <c r="H12" s="85"/>
      <c r="I12" s="86"/>
      <c r="J12" s="86">
        <f t="shared" si="1"/>
        <v>0</v>
      </c>
      <c r="M12" t="s">
        <v>310</v>
      </c>
      <c r="N12">
        <v>487887.48482525005</v>
      </c>
      <c r="P12" t="s">
        <v>138</v>
      </c>
      <c r="Q12" s="169">
        <v>4260815.087293</v>
      </c>
      <c r="AC12" s="577" t="s">
        <v>611</v>
      </c>
      <c r="AD12" s="572"/>
      <c r="AE12" s="572"/>
      <c r="AF12" s="572"/>
      <c r="AG12" s="572"/>
      <c r="AH12" s="618">
        <f>ROUNDDOWN('Table 21 part B'!D34/1000000,1)</f>
        <v>25.7</v>
      </c>
    </row>
    <row r="13" spans="3:34" x14ac:dyDescent="0.2">
      <c r="C13" s="333" t="s">
        <v>310</v>
      </c>
      <c r="D13" s="53">
        <f>G13+J13</f>
        <v>2026897.28</v>
      </c>
      <c r="E13" s="88">
        <v>744745.14</v>
      </c>
      <c r="F13" s="89">
        <v>1282151.3999999999</v>
      </c>
      <c r="G13" s="89">
        <f t="shared" si="0"/>
        <v>2026896.54</v>
      </c>
      <c r="H13" s="88">
        <v>0.62</v>
      </c>
      <c r="I13" s="89">
        <v>0.12</v>
      </c>
      <c r="J13" s="89">
        <f t="shared" si="1"/>
        <v>0.74</v>
      </c>
      <c r="M13" t="s">
        <v>270</v>
      </c>
      <c r="N13">
        <v>542773.61978795007</v>
      </c>
      <c r="P13" t="s">
        <v>45</v>
      </c>
      <c r="Q13" s="169">
        <v>2763111.9128700001</v>
      </c>
    </row>
    <row r="14" spans="3:34" x14ac:dyDescent="0.2">
      <c r="C14" t="s">
        <v>270</v>
      </c>
      <c r="D14" s="48">
        <f t="shared" si="2"/>
        <v>826671.09</v>
      </c>
      <c r="E14" s="85">
        <v>511412.39</v>
      </c>
      <c r="F14" s="86">
        <v>309700.84000000003</v>
      </c>
      <c r="G14" s="86">
        <f t="shared" si="0"/>
        <v>821113.23</v>
      </c>
      <c r="H14" s="193">
        <v>4657.87</v>
      </c>
      <c r="I14" s="79">
        <v>899.99</v>
      </c>
      <c r="J14" s="79">
        <f>SUM(H14:I14)</f>
        <v>5557.86</v>
      </c>
      <c r="M14" t="s">
        <v>109</v>
      </c>
      <c r="N14">
        <v>25977.475674000001</v>
      </c>
      <c r="P14" t="s">
        <v>303</v>
      </c>
      <c r="Q14" s="169">
        <v>2501293.2214560001</v>
      </c>
    </row>
    <row r="15" spans="3:34" x14ac:dyDescent="0.2">
      <c r="C15" s="52" t="s">
        <v>109</v>
      </c>
      <c r="D15" s="53">
        <f t="shared" si="2"/>
        <v>116422.09</v>
      </c>
      <c r="E15" s="88">
        <v>90089.58</v>
      </c>
      <c r="F15" s="89">
        <v>26332.51</v>
      </c>
      <c r="G15" s="89">
        <f t="shared" si="0"/>
        <v>116422.09</v>
      </c>
      <c r="H15" s="90"/>
      <c r="I15" s="80"/>
      <c r="J15" s="80">
        <f t="shared" si="1"/>
        <v>0</v>
      </c>
      <c r="M15" t="s">
        <v>281</v>
      </c>
      <c r="N15">
        <v>615180.55891699996</v>
      </c>
      <c r="P15" t="s">
        <v>191</v>
      </c>
      <c r="Q15" s="169">
        <v>2457328.0183717501</v>
      </c>
    </row>
    <row r="16" spans="3:34" x14ac:dyDescent="0.2">
      <c r="C16" t="s">
        <v>281</v>
      </c>
      <c r="D16" s="48">
        <f t="shared" si="2"/>
        <v>1288429.05</v>
      </c>
      <c r="E16" s="85">
        <v>601850.74</v>
      </c>
      <c r="F16" s="86">
        <v>686578.31</v>
      </c>
      <c r="G16" s="86">
        <f t="shared" si="0"/>
        <v>1288429.05</v>
      </c>
      <c r="H16" s="193"/>
      <c r="I16" s="79"/>
      <c r="J16" s="79">
        <f t="shared" si="1"/>
        <v>0</v>
      </c>
      <c r="M16" t="s">
        <v>31</v>
      </c>
      <c r="N16">
        <v>576374.78508100007</v>
      </c>
      <c r="P16" t="s">
        <v>275</v>
      </c>
      <c r="Q16" s="169">
        <v>2190433.74021</v>
      </c>
    </row>
    <row r="17" spans="3:17" x14ac:dyDescent="0.2">
      <c r="C17" s="52" t="s">
        <v>31</v>
      </c>
      <c r="D17" s="53">
        <f t="shared" si="2"/>
        <v>1088375.42</v>
      </c>
      <c r="E17" s="88">
        <v>574299.93999999994</v>
      </c>
      <c r="F17" s="89">
        <v>514075.48</v>
      </c>
      <c r="G17" s="89">
        <f t="shared" si="0"/>
        <v>1088375.42</v>
      </c>
      <c r="H17" s="88"/>
      <c r="I17" s="89"/>
      <c r="J17" s="89">
        <f t="shared" si="1"/>
        <v>0</v>
      </c>
      <c r="M17" t="s">
        <v>277</v>
      </c>
      <c r="N17">
        <v>531471.97191399999</v>
      </c>
      <c r="P17" t="s">
        <v>226</v>
      </c>
      <c r="Q17" s="169">
        <v>2158896.5128279999</v>
      </c>
    </row>
    <row r="18" spans="3:17" x14ac:dyDescent="0.2">
      <c r="C18" t="s">
        <v>277</v>
      </c>
      <c r="D18" s="48">
        <f t="shared" si="2"/>
        <v>978919.63</v>
      </c>
      <c r="E18" s="85">
        <v>486272.79000000004</v>
      </c>
      <c r="F18" s="86">
        <v>490452.76</v>
      </c>
      <c r="G18" s="86">
        <f t="shared" si="0"/>
        <v>976725.55</v>
      </c>
      <c r="H18" s="193">
        <v>1849.75</v>
      </c>
      <c r="I18" s="79">
        <v>344.33</v>
      </c>
      <c r="J18" s="79">
        <f t="shared" si="1"/>
        <v>2194.08</v>
      </c>
      <c r="M18" t="s">
        <v>278</v>
      </c>
      <c r="N18">
        <v>134159.66288000002</v>
      </c>
      <c r="P18" t="s">
        <v>276</v>
      </c>
      <c r="Q18" s="169">
        <v>2157650.1409700001</v>
      </c>
    </row>
    <row r="19" spans="3:17" x14ac:dyDescent="0.2">
      <c r="C19" s="52" t="s">
        <v>278</v>
      </c>
      <c r="D19" s="53">
        <f t="shared" si="2"/>
        <v>340909.42</v>
      </c>
      <c r="E19" s="88">
        <v>287884.42</v>
      </c>
      <c r="F19" s="89">
        <v>53025</v>
      </c>
      <c r="G19" s="89">
        <f t="shared" si="0"/>
        <v>340909.42</v>
      </c>
      <c r="H19" s="90"/>
      <c r="I19" s="80"/>
      <c r="J19" s="80">
        <f t="shared" si="1"/>
        <v>0</v>
      </c>
      <c r="M19" t="s">
        <v>241</v>
      </c>
      <c r="N19">
        <v>27651.583121000003</v>
      </c>
      <c r="P19" t="s">
        <v>301</v>
      </c>
      <c r="Q19" s="169">
        <v>2024810.9214187497</v>
      </c>
    </row>
    <row r="20" spans="3:17" x14ac:dyDescent="0.2">
      <c r="C20" t="s">
        <v>241</v>
      </c>
      <c r="D20" s="48">
        <f t="shared" si="2"/>
        <v>101153.88</v>
      </c>
      <c r="E20" s="85">
        <v>76628.98</v>
      </c>
      <c r="F20" s="86">
        <v>24524.9</v>
      </c>
      <c r="G20" s="86">
        <f t="shared" si="0"/>
        <v>101153.88</v>
      </c>
      <c r="H20" s="85"/>
      <c r="I20" s="86"/>
      <c r="J20" s="86">
        <f t="shared" si="1"/>
        <v>0</v>
      </c>
      <c r="M20" t="s">
        <v>301</v>
      </c>
      <c r="N20">
        <v>2024810.9214187497</v>
      </c>
      <c r="P20" t="s">
        <v>274</v>
      </c>
      <c r="Q20" s="169">
        <v>1633657.288464</v>
      </c>
    </row>
    <row r="21" spans="3:17" x14ac:dyDescent="0.2">
      <c r="C21" s="52" t="s">
        <v>301</v>
      </c>
      <c r="D21" s="53">
        <f t="shared" si="2"/>
        <v>5291117.66</v>
      </c>
      <c r="E21" s="88">
        <v>2728601.31</v>
      </c>
      <c r="F21" s="89">
        <v>2345147.77</v>
      </c>
      <c r="G21" s="89">
        <f t="shared" si="0"/>
        <v>5073749.08</v>
      </c>
      <c r="H21" s="90">
        <v>169279.03</v>
      </c>
      <c r="I21" s="80">
        <v>48089.55</v>
      </c>
      <c r="J21" s="80">
        <f t="shared" si="1"/>
        <v>217368.58000000002</v>
      </c>
      <c r="M21" t="s">
        <v>233</v>
      </c>
      <c r="N21">
        <v>44066.481979000004</v>
      </c>
      <c r="P21" t="s">
        <v>244</v>
      </c>
      <c r="Q21" s="169">
        <v>1560110.8214669998</v>
      </c>
    </row>
    <row r="22" spans="3:17" x14ac:dyDescent="0.2">
      <c r="C22" t="s">
        <v>233</v>
      </c>
      <c r="D22" s="48">
        <f t="shared" si="2"/>
        <v>105298.70000000001</v>
      </c>
      <c r="E22" s="85">
        <v>65361.16</v>
      </c>
      <c r="F22" s="86">
        <v>39937.54</v>
      </c>
      <c r="G22" s="86">
        <f t="shared" si="0"/>
        <v>105298.70000000001</v>
      </c>
      <c r="H22" s="193"/>
      <c r="I22" s="79"/>
      <c r="J22" s="79">
        <f t="shared" si="1"/>
        <v>0</v>
      </c>
      <c r="M22" t="s">
        <v>193</v>
      </c>
      <c r="N22">
        <v>1397.794811</v>
      </c>
      <c r="P22" t="s">
        <v>297</v>
      </c>
      <c r="Q22" s="169">
        <v>1347001.8373170001</v>
      </c>
    </row>
    <row r="23" spans="3:17" x14ac:dyDescent="0.2">
      <c r="C23" s="52" t="s">
        <v>193</v>
      </c>
      <c r="D23" s="53">
        <f t="shared" si="2"/>
        <v>2651.64</v>
      </c>
      <c r="E23" s="88">
        <v>592.30999999999995</v>
      </c>
      <c r="F23" s="89">
        <v>2059.33</v>
      </c>
      <c r="G23" s="89">
        <f t="shared" si="0"/>
        <v>2651.64</v>
      </c>
      <c r="H23" s="90"/>
      <c r="I23" s="80"/>
      <c r="J23" s="80">
        <f t="shared" si="1"/>
        <v>0</v>
      </c>
      <c r="M23" t="s">
        <v>155</v>
      </c>
      <c r="N23">
        <v>76208.352286000008</v>
      </c>
      <c r="P23" t="s">
        <v>206</v>
      </c>
      <c r="Q23" s="169">
        <v>1154716.279906</v>
      </c>
    </row>
    <row r="24" spans="3:17" x14ac:dyDescent="0.2">
      <c r="C24" t="s">
        <v>155</v>
      </c>
      <c r="D24" s="48">
        <f t="shared" si="2"/>
        <v>156841.03999999998</v>
      </c>
      <c r="E24" s="85">
        <v>80169.45</v>
      </c>
      <c r="F24" s="86">
        <v>76671.59</v>
      </c>
      <c r="G24" s="86">
        <f t="shared" si="0"/>
        <v>156841.03999999998</v>
      </c>
      <c r="H24" s="193"/>
      <c r="I24" s="79"/>
      <c r="J24" s="79">
        <f t="shared" si="1"/>
        <v>0</v>
      </c>
      <c r="M24" t="s">
        <v>201</v>
      </c>
      <c r="N24">
        <v>61444.972392000003</v>
      </c>
      <c r="P24" t="s">
        <v>59</v>
      </c>
      <c r="Q24" s="169">
        <v>837097.34525899997</v>
      </c>
    </row>
    <row r="25" spans="3:17" x14ac:dyDescent="0.2">
      <c r="C25" s="52" t="s">
        <v>201</v>
      </c>
      <c r="D25" s="53">
        <f t="shared" si="2"/>
        <v>107635.76000000001</v>
      </c>
      <c r="E25" s="88">
        <v>67369.94</v>
      </c>
      <c r="F25" s="89">
        <v>40265.82</v>
      </c>
      <c r="G25" s="89">
        <f t="shared" si="0"/>
        <v>107635.76000000001</v>
      </c>
      <c r="H25" s="90"/>
      <c r="I25" s="80"/>
      <c r="J25" s="80">
        <f t="shared" si="1"/>
        <v>0</v>
      </c>
      <c r="M25" t="s">
        <v>251</v>
      </c>
      <c r="N25">
        <v>121538.72240999999</v>
      </c>
      <c r="P25" t="s">
        <v>90</v>
      </c>
      <c r="Q25" s="169">
        <v>731378.45758499997</v>
      </c>
    </row>
    <row r="26" spans="3:17" x14ac:dyDescent="0.2">
      <c r="C26" t="s">
        <v>251</v>
      </c>
      <c r="D26" s="48">
        <f t="shared" si="2"/>
        <v>206395.65000000002</v>
      </c>
      <c r="E26" s="85">
        <v>106550.21</v>
      </c>
      <c r="F26" s="86">
        <v>99845.440000000002</v>
      </c>
      <c r="G26" s="86">
        <f t="shared" si="0"/>
        <v>206395.65000000002</v>
      </c>
      <c r="H26" s="193"/>
      <c r="I26" s="79"/>
      <c r="J26" s="79">
        <f t="shared" si="1"/>
        <v>0</v>
      </c>
      <c r="M26" t="s">
        <v>311</v>
      </c>
      <c r="N26">
        <v>52503.996478000001</v>
      </c>
      <c r="P26" t="s">
        <v>179</v>
      </c>
      <c r="Q26" s="169">
        <v>718262.84227899997</v>
      </c>
    </row>
    <row r="27" spans="3:17" x14ac:dyDescent="0.2">
      <c r="C27" s="52" t="s">
        <v>311</v>
      </c>
      <c r="D27" s="53">
        <f t="shared" si="2"/>
        <v>89102.3</v>
      </c>
      <c r="E27" s="88">
        <v>46628.4</v>
      </c>
      <c r="F27" s="89">
        <v>42473.9</v>
      </c>
      <c r="G27" s="89">
        <f t="shared" si="0"/>
        <v>89102.3</v>
      </c>
      <c r="H27" s="90"/>
      <c r="I27" s="80"/>
      <c r="J27" s="80">
        <f t="shared" si="1"/>
        <v>0</v>
      </c>
      <c r="M27" t="s">
        <v>244</v>
      </c>
      <c r="N27">
        <v>1560110.8214669998</v>
      </c>
      <c r="P27" t="s">
        <v>281</v>
      </c>
      <c r="Q27" s="169">
        <v>615180.55891699996</v>
      </c>
    </row>
    <row r="28" spans="3:17" x14ac:dyDescent="0.2">
      <c r="C28" t="s">
        <v>244</v>
      </c>
      <c r="D28" s="48">
        <f t="shared" si="2"/>
        <v>3799509.19</v>
      </c>
      <c r="E28" s="85">
        <v>2827184.9</v>
      </c>
      <c r="F28" s="86">
        <v>972324.29</v>
      </c>
      <c r="G28" s="86">
        <f t="shared" si="0"/>
        <v>3799509.19</v>
      </c>
      <c r="H28" s="193"/>
      <c r="I28" s="79"/>
      <c r="J28" s="79">
        <f t="shared" si="1"/>
        <v>0</v>
      </c>
      <c r="M28" t="s">
        <v>269</v>
      </c>
      <c r="N28">
        <v>61996.117205999995</v>
      </c>
      <c r="P28" t="s">
        <v>31</v>
      </c>
      <c r="Q28" s="169">
        <v>576374.78508100007</v>
      </c>
    </row>
    <row r="29" spans="3:17" x14ac:dyDescent="0.2">
      <c r="C29" s="52" t="s">
        <v>269</v>
      </c>
      <c r="D29" s="53">
        <f t="shared" si="2"/>
        <v>97449.73000000001</v>
      </c>
      <c r="E29" s="88">
        <v>42426.97</v>
      </c>
      <c r="F29" s="89">
        <v>55022.76</v>
      </c>
      <c r="G29" s="89">
        <f t="shared" si="0"/>
        <v>97449.73000000001</v>
      </c>
      <c r="H29" s="90"/>
      <c r="I29" s="80"/>
      <c r="J29" s="80">
        <f t="shared" si="1"/>
        <v>0</v>
      </c>
      <c r="M29" t="s">
        <v>237</v>
      </c>
      <c r="N29">
        <v>10482.531812000001</v>
      </c>
      <c r="P29" t="s">
        <v>93</v>
      </c>
      <c r="Q29" s="169">
        <v>545754.43442099995</v>
      </c>
    </row>
    <row r="30" spans="3:17" x14ac:dyDescent="0.2">
      <c r="C30" t="s">
        <v>237</v>
      </c>
      <c r="D30" s="48">
        <f t="shared" si="2"/>
        <v>21065.599999999999</v>
      </c>
      <c r="E30" s="85">
        <v>7380.46</v>
      </c>
      <c r="F30" s="86">
        <v>13685.14</v>
      </c>
      <c r="G30" s="86">
        <f t="shared" si="0"/>
        <v>21065.599999999999</v>
      </c>
      <c r="H30" s="193"/>
      <c r="I30" s="79"/>
      <c r="J30" s="79">
        <f t="shared" si="1"/>
        <v>0</v>
      </c>
      <c r="M30" t="s">
        <v>90</v>
      </c>
      <c r="N30">
        <v>731378.45758499997</v>
      </c>
      <c r="P30" t="s">
        <v>210</v>
      </c>
      <c r="Q30" s="169">
        <v>543471.51670899999</v>
      </c>
    </row>
    <row r="31" spans="3:17" x14ac:dyDescent="0.2">
      <c r="C31" s="52" t="s">
        <v>90</v>
      </c>
      <c r="D31" s="53">
        <f t="shared" si="2"/>
        <v>2326876.81</v>
      </c>
      <c r="E31" s="88">
        <v>1897594.13</v>
      </c>
      <c r="F31" s="89">
        <v>429282.68</v>
      </c>
      <c r="G31" s="89">
        <f t="shared" si="0"/>
        <v>2326876.81</v>
      </c>
      <c r="H31" s="90"/>
      <c r="I31" s="80"/>
      <c r="J31" s="80">
        <f t="shared" si="1"/>
        <v>0</v>
      </c>
      <c r="M31" t="s">
        <v>234</v>
      </c>
      <c r="N31">
        <v>47127.644460000003</v>
      </c>
      <c r="P31" t="s">
        <v>270</v>
      </c>
      <c r="Q31" s="169">
        <v>542773.61978795007</v>
      </c>
    </row>
    <row r="32" spans="3:17" x14ac:dyDescent="0.2">
      <c r="C32" t="s">
        <v>234</v>
      </c>
      <c r="D32" s="48">
        <f t="shared" si="2"/>
        <v>77824.81</v>
      </c>
      <c r="E32" s="85">
        <v>16876.66</v>
      </c>
      <c r="F32" s="86">
        <v>60948.15</v>
      </c>
      <c r="G32" s="86">
        <f t="shared" si="0"/>
        <v>77824.81</v>
      </c>
      <c r="H32" s="193"/>
      <c r="I32" s="79"/>
      <c r="J32" s="79">
        <f t="shared" si="1"/>
        <v>0</v>
      </c>
      <c r="M32" t="s">
        <v>265</v>
      </c>
      <c r="N32">
        <v>507485.20459400001</v>
      </c>
      <c r="P32" t="s">
        <v>277</v>
      </c>
      <c r="Q32" s="169">
        <v>531471.97191399999</v>
      </c>
    </row>
    <row r="33" spans="3:17" x14ac:dyDescent="0.2">
      <c r="C33" s="52" t="s">
        <v>265</v>
      </c>
      <c r="D33" s="53">
        <f t="shared" si="2"/>
        <v>1373644.87</v>
      </c>
      <c r="E33" s="88">
        <v>713858.69</v>
      </c>
      <c r="F33" s="89">
        <v>659786.18000000005</v>
      </c>
      <c r="G33" s="89">
        <f t="shared" si="0"/>
        <v>1373644.87</v>
      </c>
      <c r="H33" s="90"/>
      <c r="I33" s="80"/>
      <c r="J33" s="80">
        <f t="shared" si="1"/>
        <v>0</v>
      </c>
      <c r="M33" t="s">
        <v>253</v>
      </c>
      <c r="N33">
        <v>9381.6588819999997</v>
      </c>
      <c r="P33" t="s">
        <v>265</v>
      </c>
      <c r="Q33" s="169">
        <v>507485.20459400001</v>
      </c>
    </row>
    <row r="34" spans="3:17" x14ac:dyDescent="0.2">
      <c r="C34" t="s">
        <v>253</v>
      </c>
      <c r="D34" s="48">
        <f t="shared" si="2"/>
        <v>13105.11</v>
      </c>
      <c r="E34" s="85">
        <v>4661.7700000000004</v>
      </c>
      <c r="F34" s="86">
        <v>8443.34</v>
      </c>
      <c r="G34" s="86">
        <f t="shared" si="0"/>
        <v>13105.11</v>
      </c>
      <c r="H34" s="193"/>
      <c r="I34" s="79"/>
      <c r="J34" s="79">
        <f t="shared" si="1"/>
        <v>0</v>
      </c>
      <c r="M34" t="s">
        <v>148</v>
      </c>
      <c r="N34">
        <v>10927.142400000001</v>
      </c>
      <c r="P34" t="s">
        <v>58</v>
      </c>
      <c r="Q34" s="169">
        <v>503925.09897200001</v>
      </c>
    </row>
    <row r="35" spans="3:17" x14ac:dyDescent="0.2">
      <c r="C35" s="52" t="s">
        <v>148</v>
      </c>
      <c r="D35" s="53">
        <f t="shared" si="2"/>
        <v>22233.84</v>
      </c>
      <c r="E35" s="88">
        <v>12031.01</v>
      </c>
      <c r="F35" s="89">
        <v>10202.83</v>
      </c>
      <c r="G35" s="89">
        <f t="shared" si="0"/>
        <v>22233.84</v>
      </c>
      <c r="H35" s="90"/>
      <c r="I35" s="80"/>
      <c r="J35" s="80">
        <f t="shared" si="1"/>
        <v>0</v>
      </c>
      <c r="M35" t="s">
        <v>199</v>
      </c>
      <c r="N35">
        <v>1425.196265</v>
      </c>
      <c r="P35" t="s">
        <v>310</v>
      </c>
      <c r="Q35" s="169">
        <v>487887.48482525005</v>
      </c>
    </row>
    <row r="36" spans="3:17" x14ac:dyDescent="0.2">
      <c r="C36" t="s">
        <v>199</v>
      </c>
      <c r="D36" s="48">
        <f t="shared" si="2"/>
        <v>2400.75</v>
      </c>
      <c r="E36" s="85">
        <v>1298.2</v>
      </c>
      <c r="F36" s="86">
        <v>1102.55</v>
      </c>
      <c r="G36" s="86">
        <f t="shared" si="0"/>
        <v>2400.75</v>
      </c>
      <c r="H36" s="193"/>
      <c r="I36" s="79"/>
      <c r="J36" s="79">
        <f t="shared" si="1"/>
        <v>0</v>
      </c>
      <c r="M36" t="s">
        <v>204</v>
      </c>
      <c r="N36">
        <v>14006.469856</v>
      </c>
      <c r="P36" t="s">
        <v>287</v>
      </c>
      <c r="Q36" s="169">
        <v>463850.287878</v>
      </c>
    </row>
    <row r="37" spans="3:17" ht="14.25" x14ac:dyDescent="0.2">
      <c r="C37" s="52" t="s">
        <v>204</v>
      </c>
      <c r="D37" s="53">
        <f t="shared" si="2"/>
        <v>48320.78</v>
      </c>
      <c r="E37" s="88">
        <v>28060.18</v>
      </c>
      <c r="F37" s="89">
        <v>20260.599999999999</v>
      </c>
      <c r="G37" s="89">
        <f t="shared" si="0"/>
        <v>48320.78</v>
      </c>
      <c r="H37" s="90"/>
      <c r="I37" s="80"/>
      <c r="J37" s="80">
        <f t="shared" si="1"/>
        <v>0</v>
      </c>
      <c r="M37" t="s">
        <v>404</v>
      </c>
      <c r="N37">
        <v>0</v>
      </c>
      <c r="P37" t="s">
        <v>176</v>
      </c>
      <c r="Q37" s="169">
        <v>335250.30194999999</v>
      </c>
    </row>
    <row r="38" spans="3:17" x14ac:dyDescent="0.2">
      <c r="C38" s="321" t="s">
        <v>100</v>
      </c>
      <c r="D38" s="48">
        <f t="shared" si="2"/>
        <v>617200.23</v>
      </c>
      <c r="E38" s="85">
        <v>475910.61</v>
      </c>
      <c r="F38" s="86">
        <v>141289.62</v>
      </c>
      <c r="G38" s="86">
        <f t="shared" si="0"/>
        <v>617200.23</v>
      </c>
      <c r="H38" s="193"/>
      <c r="I38" s="79"/>
      <c r="J38" s="79">
        <f t="shared" si="1"/>
        <v>0</v>
      </c>
      <c r="M38" t="s">
        <v>136</v>
      </c>
      <c r="N38">
        <v>118196.47686000002</v>
      </c>
      <c r="P38" t="s">
        <v>99</v>
      </c>
      <c r="Q38" s="169">
        <v>296637.40262000007</v>
      </c>
    </row>
    <row r="39" spans="3:17" x14ac:dyDescent="0.2">
      <c r="C39" s="52" t="s">
        <v>136</v>
      </c>
      <c r="D39" s="53">
        <f t="shared" si="2"/>
        <v>323601.13</v>
      </c>
      <c r="E39" s="88">
        <v>240428.64</v>
      </c>
      <c r="F39" s="89">
        <v>83172.490000000005</v>
      </c>
      <c r="G39" s="89">
        <f t="shared" si="0"/>
        <v>323601.13</v>
      </c>
      <c r="H39" s="90"/>
      <c r="I39" s="80"/>
      <c r="J39" s="80">
        <f t="shared" si="1"/>
        <v>0</v>
      </c>
      <c r="M39" t="s">
        <v>182</v>
      </c>
      <c r="N39">
        <v>2998.5385529999999</v>
      </c>
      <c r="P39" t="s">
        <v>181</v>
      </c>
      <c r="Q39" s="169">
        <v>295577.203645</v>
      </c>
    </row>
    <row r="40" spans="3:17" x14ac:dyDescent="0.2">
      <c r="C40" t="s">
        <v>182</v>
      </c>
      <c r="D40" s="48">
        <f t="shared" si="2"/>
        <v>5295.12</v>
      </c>
      <c r="E40" s="85">
        <v>2358.15</v>
      </c>
      <c r="F40" s="86">
        <v>2936.97</v>
      </c>
      <c r="G40" s="86">
        <f t="shared" si="0"/>
        <v>5295.12</v>
      </c>
      <c r="H40" s="193"/>
      <c r="I40" s="79"/>
      <c r="J40" s="79">
        <f t="shared" si="1"/>
        <v>0</v>
      </c>
      <c r="M40" t="s">
        <v>228</v>
      </c>
      <c r="N40">
        <v>1687.4987190000002</v>
      </c>
      <c r="P40" t="s">
        <v>188</v>
      </c>
      <c r="Q40" s="169">
        <v>294119.82582749997</v>
      </c>
    </row>
    <row r="41" spans="3:17" x14ac:dyDescent="0.2">
      <c r="C41" s="52" t="s">
        <v>228</v>
      </c>
      <c r="D41" s="53">
        <f t="shared" si="2"/>
        <v>5930.09</v>
      </c>
      <c r="E41" s="88">
        <v>949.46</v>
      </c>
      <c r="F41" s="89">
        <v>4980.63</v>
      </c>
      <c r="G41" s="89">
        <f t="shared" si="0"/>
        <v>5930.09</v>
      </c>
      <c r="H41" s="90"/>
      <c r="I41" s="80"/>
      <c r="J41" s="80">
        <f t="shared" si="1"/>
        <v>0</v>
      </c>
      <c r="M41" t="s">
        <v>93</v>
      </c>
      <c r="N41">
        <v>545754.43442099995</v>
      </c>
      <c r="P41" t="s">
        <v>177</v>
      </c>
      <c r="Q41" s="169">
        <v>291441.016489</v>
      </c>
    </row>
    <row r="42" spans="3:17" x14ac:dyDescent="0.2">
      <c r="C42" t="s">
        <v>93</v>
      </c>
      <c r="D42" s="48">
        <f t="shared" si="2"/>
        <v>1129722.25</v>
      </c>
      <c r="E42" s="85">
        <v>484044.92</v>
      </c>
      <c r="F42" s="86">
        <v>645677.33000000007</v>
      </c>
      <c r="G42" s="86">
        <f t="shared" si="0"/>
        <v>1129722.25</v>
      </c>
      <c r="H42" s="193"/>
      <c r="I42" s="203"/>
      <c r="J42" s="79">
        <f t="shared" si="1"/>
        <v>0</v>
      </c>
      <c r="M42" t="s">
        <v>208</v>
      </c>
      <c r="N42">
        <v>22743.448711999998</v>
      </c>
      <c r="P42" t="s">
        <v>97</v>
      </c>
      <c r="Q42" s="169">
        <v>285328.94633499999</v>
      </c>
    </row>
    <row r="43" spans="3:17" x14ac:dyDescent="0.2">
      <c r="C43" s="52" t="s">
        <v>208</v>
      </c>
      <c r="D43" s="53">
        <f t="shared" si="2"/>
        <v>74031.12</v>
      </c>
      <c r="E43" s="88">
        <v>20416.689999999999</v>
      </c>
      <c r="F43" s="89">
        <v>53614.43</v>
      </c>
      <c r="G43" s="89">
        <f t="shared" si="0"/>
        <v>74031.12</v>
      </c>
      <c r="H43" s="88"/>
      <c r="I43" s="89"/>
      <c r="J43" s="89">
        <f t="shared" si="1"/>
        <v>0</v>
      </c>
      <c r="M43" t="s">
        <v>188</v>
      </c>
      <c r="N43">
        <v>294119.82582749997</v>
      </c>
      <c r="P43" t="s">
        <v>230</v>
      </c>
      <c r="Q43" s="169">
        <v>265008.98653699999</v>
      </c>
    </row>
    <row r="44" spans="3:17" x14ac:dyDescent="0.2">
      <c r="C44" t="s">
        <v>188</v>
      </c>
      <c r="D44" s="48">
        <f t="shared" si="2"/>
        <v>282377.48</v>
      </c>
      <c r="E44" s="85">
        <v>146131.04</v>
      </c>
      <c r="F44" s="86">
        <v>120361.57</v>
      </c>
      <c r="G44" s="86">
        <f t="shared" si="0"/>
        <v>266492.61</v>
      </c>
      <c r="H44" s="85">
        <v>13270.89</v>
      </c>
      <c r="I44" s="86">
        <v>2613.98</v>
      </c>
      <c r="J44" s="86">
        <f t="shared" si="1"/>
        <v>15884.869999999999</v>
      </c>
      <c r="M44" t="s">
        <v>274</v>
      </c>
      <c r="N44">
        <v>1633657.288464</v>
      </c>
      <c r="P44" t="s">
        <v>127</v>
      </c>
      <c r="Q44" s="169">
        <v>202940.36170799998</v>
      </c>
    </row>
    <row r="45" spans="3:17" x14ac:dyDescent="0.2">
      <c r="C45" s="52" t="s">
        <v>274</v>
      </c>
      <c r="D45" s="53">
        <f t="shared" si="2"/>
        <v>2479692.79</v>
      </c>
      <c r="E45" s="88">
        <v>1421258.79</v>
      </c>
      <c r="F45" s="89">
        <v>1056360.45</v>
      </c>
      <c r="G45" s="89">
        <f t="shared" si="0"/>
        <v>2477619.2400000002</v>
      </c>
      <c r="H45" s="90">
        <v>1538.02</v>
      </c>
      <c r="I45" s="80">
        <v>535.53</v>
      </c>
      <c r="J45" s="80">
        <f t="shared" si="1"/>
        <v>2073.5500000000002</v>
      </c>
      <c r="M45" t="s">
        <v>189</v>
      </c>
      <c r="N45">
        <v>1224.9314750000001</v>
      </c>
      <c r="P45" t="s">
        <v>186</v>
      </c>
      <c r="Q45" s="169">
        <v>182845.28207399999</v>
      </c>
    </row>
    <row r="46" spans="3:17" x14ac:dyDescent="0.2">
      <c r="C46" t="s">
        <v>189</v>
      </c>
      <c r="D46" s="48">
        <f t="shared" si="2"/>
        <v>1976.96</v>
      </c>
      <c r="E46" s="85">
        <v>1269.06</v>
      </c>
      <c r="F46" s="86">
        <v>707.9</v>
      </c>
      <c r="G46" s="86">
        <f t="shared" si="0"/>
        <v>1976.96</v>
      </c>
      <c r="H46" s="193"/>
      <c r="I46" s="79"/>
      <c r="J46" s="79">
        <f t="shared" si="1"/>
        <v>0</v>
      </c>
      <c r="M46" t="s">
        <v>258</v>
      </c>
      <c r="N46">
        <v>3566.263567</v>
      </c>
      <c r="P46" t="s">
        <v>308</v>
      </c>
      <c r="Q46" s="169">
        <v>167424.14351000002</v>
      </c>
    </row>
    <row r="47" spans="3:17" x14ac:dyDescent="0.2">
      <c r="C47" s="52" t="s">
        <v>258</v>
      </c>
      <c r="D47" s="53">
        <f t="shared" si="2"/>
        <v>5826.68</v>
      </c>
      <c r="E47" s="88">
        <v>2132.91</v>
      </c>
      <c r="F47" s="89">
        <v>3693.77</v>
      </c>
      <c r="G47" s="89">
        <f t="shared" si="0"/>
        <v>5826.68</v>
      </c>
      <c r="H47" s="90"/>
      <c r="I47" s="80"/>
      <c r="J47" s="80">
        <f t="shared" si="1"/>
        <v>0</v>
      </c>
      <c r="M47" t="s">
        <v>272</v>
      </c>
      <c r="N47">
        <v>18081.969799999999</v>
      </c>
      <c r="P47" t="s">
        <v>184</v>
      </c>
      <c r="Q47" s="169">
        <v>164475.06682800001</v>
      </c>
    </row>
    <row r="48" spans="3:17" x14ac:dyDescent="0.2">
      <c r="C48" t="s">
        <v>272</v>
      </c>
      <c r="D48" s="48">
        <f t="shared" si="2"/>
        <v>34227.910000000003</v>
      </c>
      <c r="E48" s="85">
        <v>15272.54</v>
      </c>
      <c r="F48" s="86">
        <v>18955.37</v>
      </c>
      <c r="G48" s="86">
        <f t="shared" si="0"/>
        <v>34227.910000000003</v>
      </c>
      <c r="H48" s="193"/>
      <c r="I48" s="79"/>
      <c r="J48" s="79">
        <f t="shared" si="1"/>
        <v>0</v>
      </c>
      <c r="M48" t="s">
        <v>276</v>
      </c>
      <c r="N48">
        <v>2157650.1409700001</v>
      </c>
      <c r="P48" t="s">
        <v>124</v>
      </c>
      <c r="Q48" s="169">
        <v>153671.66898700001</v>
      </c>
    </row>
    <row r="49" spans="3:17" x14ac:dyDescent="0.2">
      <c r="C49" s="52" t="s">
        <v>276</v>
      </c>
      <c r="D49" s="53">
        <f t="shared" si="2"/>
        <v>2853448.3600000003</v>
      </c>
      <c r="E49" s="88">
        <v>1566214.78</v>
      </c>
      <c r="F49" s="89">
        <v>1287233.58</v>
      </c>
      <c r="G49" s="89">
        <f t="shared" si="0"/>
        <v>2853448.3600000003</v>
      </c>
      <c r="H49" s="90"/>
      <c r="I49" s="80"/>
      <c r="J49" s="80">
        <f t="shared" si="1"/>
        <v>0</v>
      </c>
      <c r="M49" t="s">
        <v>255</v>
      </c>
      <c r="N49">
        <v>3296.2095860000004</v>
      </c>
      <c r="P49" t="s">
        <v>278</v>
      </c>
      <c r="Q49" s="169">
        <v>134159.66288000002</v>
      </c>
    </row>
    <row r="50" spans="3:17" x14ac:dyDescent="0.2">
      <c r="C50" t="s">
        <v>255</v>
      </c>
      <c r="D50" s="48">
        <f t="shared" si="2"/>
        <v>5171.5</v>
      </c>
      <c r="E50" s="85">
        <v>4050.69</v>
      </c>
      <c r="F50" s="86">
        <v>1120.81</v>
      </c>
      <c r="G50" s="86">
        <f t="shared" si="0"/>
        <v>5171.5</v>
      </c>
      <c r="H50" s="193"/>
      <c r="I50" s="79"/>
      <c r="J50" s="79">
        <f t="shared" si="1"/>
        <v>0</v>
      </c>
      <c r="M50" t="s">
        <v>179</v>
      </c>
      <c r="N50">
        <v>718262.84227899997</v>
      </c>
      <c r="P50" t="s">
        <v>111</v>
      </c>
      <c r="Q50" s="169">
        <v>125867.75503</v>
      </c>
    </row>
    <row r="51" spans="3:17" x14ac:dyDescent="0.2">
      <c r="C51" s="52" t="s">
        <v>179</v>
      </c>
      <c r="D51" s="53">
        <f t="shared" si="2"/>
        <v>711166.55</v>
      </c>
      <c r="E51" s="88">
        <v>394332.62</v>
      </c>
      <c r="F51" s="89">
        <v>316833.93</v>
      </c>
      <c r="G51" s="89">
        <f t="shared" si="0"/>
        <v>711166.55</v>
      </c>
      <c r="H51" s="90"/>
      <c r="I51" s="206"/>
      <c r="J51" s="80">
        <f t="shared" si="1"/>
        <v>0</v>
      </c>
      <c r="M51" t="s">
        <v>261</v>
      </c>
      <c r="N51">
        <v>2961.2055780000001</v>
      </c>
      <c r="P51" t="s">
        <v>251</v>
      </c>
      <c r="Q51" s="169">
        <v>121538.72240999999</v>
      </c>
    </row>
    <row r="52" spans="3:17" x14ac:dyDescent="0.2">
      <c r="C52" t="s">
        <v>261</v>
      </c>
      <c r="D52" s="48">
        <f t="shared" si="2"/>
        <v>6299.55</v>
      </c>
      <c r="E52" s="85">
        <v>891.71</v>
      </c>
      <c r="F52" s="86">
        <v>5407.84</v>
      </c>
      <c r="G52" s="86">
        <f t="shared" si="0"/>
        <v>6299.55</v>
      </c>
      <c r="H52" s="193"/>
      <c r="I52" s="203"/>
      <c r="J52" s="79">
        <f t="shared" si="1"/>
        <v>0</v>
      </c>
      <c r="M52" t="s">
        <v>144</v>
      </c>
      <c r="N52">
        <v>9087.8563959999992</v>
      </c>
      <c r="P52" t="s">
        <v>136</v>
      </c>
      <c r="Q52" s="169">
        <v>118196.47686000002</v>
      </c>
    </row>
    <row r="53" spans="3:17" x14ac:dyDescent="0.2">
      <c r="C53" s="52" t="s">
        <v>144</v>
      </c>
      <c r="D53" s="53">
        <f t="shared" si="2"/>
        <v>23833</v>
      </c>
      <c r="E53" s="88">
        <v>11162.57</v>
      </c>
      <c r="F53" s="89">
        <v>12670.43</v>
      </c>
      <c r="G53" s="89">
        <f t="shared" si="0"/>
        <v>23833</v>
      </c>
      <c r="H53" s="90"/>
      <c r="I53" s="206"/>
      <c r="J53" s="80">
        <f t="shared" si="1"/>
        <v>0</v>
      </c>
      <c r="M53" t="s">
        <v>290</v>
      </c>
      <c r="N53">
        <v>63597.433610000007</v>
      </c>
      <c r="P53" t="s">
        <v>165</v>
      </c>
      <c r="Q53" s="169">
        <v>98731.581900000005</v>
      </c>
    </row>
    <row r="54" spans="3:17" x14ac:dyDescent="0.2">
      <c r="C54" t="s">
        <v>290</v>
      </c>
      <c r="D54" s="48">
        <f t="shared" si="2"/>
        <v>129827.54000000001</v>
      </c>
      <c r="E54" s="85">
        <v>62611.38</v>
      </c>
      <c r="F54" s="86">
        <v>67216.160000000003</v>
      </c>
      <c r="G54" s="86">
        <f t="shared" si="0"/>
        <v>129827.54000000001</v>
      </c>
      <c r="H54" s="85"/>
      <c r="I54" s="86"/>
      <c r="J54" s="86">
        <f t="shared" si="1"/>
        <v>0</v>
      </c>
      <c r="M54" t="s">
        <v>191</v>
      </c>
      <c r="N54">
        <v>2457328.0183717501</v>
      </c>
      <c r="P54" t="s">
        <v>197</v>
      </c>
      <c r="Q54" s="169">
        <v>92177.040716999996</v>
      </c>
    </row>
    <row r="55" spans="3:17" x14ac:dyDescent="0.2">
      <c r="C55" s="52" t="s">
        <v>191</v>
      </c>
      <c r="D55" s="53">
        <f t="shared" si="2"/>
        <v>4498255.04</v>
      </c>
      <c r="E55" s="88">
        <v>2002666.16</v>
      </c>
      <c r="F55" s="89">
        <v>1804868.3</v>
      </c>
      <c r="G55" s="89">
        <f t="shared" si="0"/>
        <v>3807534.46</v>
      </c>
      <c r="H55" s="90">
        <v>572042.14</v>
      </c>
      <c r="I55" s="206">
        <v>118678.44</v>
      </c>
      <c r="J55" s="80">
        <f t="shared" si="1"/>
        <v>690720.58000000007</v>
      </c>
      <c r="M55" t="s">
        <v>78</v>
      </c>
      <c r="N55">
        <v>12803.046030000001</v>
      </c>
      <c r="P55" t="s">
        <v>173</v>
      </c>
      <c r="Q55" s="169">
        <v>90599.731006999995</v>
      </c>
    </row>
    <row r="56" spans="3:17" x14ac:dyDescent="0.2">
      <c r="C56" t="s">
        <v>78</v>
      </c>
      <c r="D56" s="48">
        <f t="shared" si="2"/>
        <v>7056.16</v>
      </c>
      <c r="E56" s="85">
        <v>4280.05</v>
      </c>
      <c r="F56" s="86">
        <v>2776.11</v>
      </c>
      <c r="G56" s="86">
        <f t="shared" si="0"/>
        <v>7056.16</v>
      </c>
      <c r="H56" s="193"/>
      <c r="I56" s="203"/>
      <c r="J56" s="79">
        <f t="shared" si="1"/>
        <v>0</v>
      </c>
      <c r="M56" t="s">
        <v>105</v>
      </c>
      <c r="N56">
        <v>2957.5661099999998</v>
      </c>
      <c r="P56" t="s">
        <v>155</v>
      </c>
      <c r="Q56" s="169">
        <v>76208.352286000008</v>
      </c>
    </row>
    <row r="57" spans="3:17" ht="14.25" x14ac:dyDescent="0.2">
      <c r="C57" s="52" t="s">
        <v>105</v>
      </c>
      <c r="D57" s="53">
        <f t="shared" si="2"/>
        <v>8761.35</v>
      </c>
      <c r="E57" s="88">
        <v>3512.77</v>
      </c>
      <c r="F57" s="89">
        <v>5248.58</v>
      </c>
      <c r="G57" s="89">
        <f t="shared" si="0"/>
        <v>8761.35</v>
      </c>
      <c r="H57" s="90"/>
      <c r="I57" s="206"/>
      <c r="J57" s="80">
        <f t="shared" si="1"/>
        <v>0</v>
      </c>
      <c r="M57" t="s">
        <v>406</v>
      </c>
      <c r="N57">
        <v>12129.822922000001</v>
      </c>
      <c r="P57" t="s">
        <v>218</v>
      </c>
      <c r="Q57" s="169">
        <v>75846.993787000014</v>
      </c>
    </row>
    <row r="58" spans="3:17" x14ac:dyDescent="0.2">
      <c r="C58" s="321" t="s">
        <v>103</v>
      </c>
      <c r="D58" s="48">
        <f>G58+J58</f>
        <v>73283.679999999993</v>
      </c>
      <c r="E58" s="85">
        <v>57081.65</v>
      </c>
      <c r="F58" s="86">
        <v>12444.08</v>
      </c>
      <c r="G58" s="86">
        <f t="shared" si="0"/>
        <v>69525.73</v>
      </c>
      <c r="H58" s="90">
        <v>3109.67</v>
      </c>
      <c r="I58" s="206">
        <v>648.28</v>
      </c>
      <c r="J58" s="80">
        <f>SUM(H58:I58)</f>
        <v>3757.95</v>
      </c>
      <c r="M58" t="s">
        <v>197</v>
      </c>
      <c r="N58">
        <v>92177.040716999996</v>
      </c>
      <c r="P58" t="s">
        <v>282</v>
      </c>
      <c r="Q58" s="169">
        <v>66662.072251999998</v>
      </c>
    </row>
    <row r="59" spans="3:17" x14ac:dyDescent="0.2">
      <c r="C59" s="52" t="s">
        <v>197</v>
      </c>
      <c r="D59" s="53">
        <f>G59+J58</f>
        <v>229694.63</v>
      </c>
      <c r="E59" s="88">
        <v>90731.31</v>
      </c>
      <c r="F59" s="89">
        <v>135205.37</v>
      </c>
      <c r="G59" s="89">
        <f t="shared" si="0"/>
        <v>225936.68</v>
      </c>
      <c r="M59" t="s">
        <v>238</v>
      </c>
      <c r="N59">
        <v>42794.494310000002</v>
      </c>
      <c r="P59" t="s">
        <v>290</v>
      </c>
      <c r="Q59" s="169">
        <v>63597.433610000007</v>
      </c>
    </row>
    <row r="60" spans="3:17" x14ac:dyDescent="0.2">
      <c r="C60" s="321" t="s">
        <v>238</v>
      </c>
      <c r="D60" s="48">
        <f t="shared" si="2"/>
        <v>61398.319999999992</v>
      </c>
      <c r="E60" s="85">
        <v>26889.8</v>
      </c>
      <c r="F60" s="86">
        <v>34508.519999999997</v>
      </c>
      <c r="G60" s="86">
        <f t="shared" si="0"/>
        <v>61398.319999999992</v>
      </c>
      <c r="H60" s="85"/>
      <c r="I60" s="86"/>
      <c r="J60" s="86">
        <f t="shared" si="1"/>
        <v>0</v>
      </c>
    </row>
    <row r="61" spans="3:17" x14ac:dyDescent="0.2">
      <c r="C61" s="52" t="s">
        <v>530</v>
      </c>
      <c r="D61" s="53"/>
      <c r="E61" s="88">
        <v>0</v>
      </c>
      <c r="F61" s="89">
        <v>0</v>
      </c>
      <c r="G61" s="89"/>
      <c r="H61" s="90"/>
      <c r="I61" s="206"/>
      <c r="J61" s="80"/>
    </row>
    <row r="62" spans="3:17" ht="13.5" thickBot="1" x14ac:dyDescent="0.25">
      <c r="C62" s="47" t="s">
        <v>153</v>
      </c>
      <c r="D62" s="223">
        <f t="shared" si="2"/>
        <v>7709.78</v>
      </c>
      <c r="E62" s="232">
        <v>4893.6499999999996</v>
      </c>
      <c r="F62" s="229">
        <v>2816.13</v>
      </c>
      <c r="G62" s="233">
        <f t="shared" si="0"/>
        <v>7709.78</v>
      </c>
      <c r="H62" s="230">
        <f>SUM(X49)</f>
        <v>0</v>
      </c>
      <c r="I62" s="231"/>
      <c r="J62" s="231">
        <f t="shared" si="1"/>
        <v>0</v>
      </c>
      <c r="M62" t="s">
        <v>153</v>
      </c>
      <c r="N62">
        <v>2745.963096</v>
      </c>
      <c r="P62" t="s">
        <v>269</v>
      </c>
      <c r="Q62" s="169">
        <v>61996.117205999995</v>
      </c>
    </row>
    <row r="63" spans="3:17" x14ac:dyDescent="0.2">
      <c r="C63" s="6" t="s">
        <v>407</v>
      </c>
      <c r="M63" t="s">
        <v>279</v>
      </c>
      <c r="N63">
        <v>8901280.7474450003</v>
      </c>
      <c r="P63" t="s">
        <v>201</v>
      </c>
      <c r="Q63" s="169">
        <v>61444.972392000003</v>
      </c>
    </row>
    <row r="64" spans="3:17" ht="41.25" customHeight="1" x14ac:dyDescent="0.2">
      <c r="C64" s="652" t="s">
        <v>516</v>
      </c>
      <c r="D64" s="652"/>
      <c r="E64" s="652"/>
      <c r="F64" s="652"/>
      <c r="G64" s="652"/>
      <c r="H64" s="652"/>
      <c r="I64" s="652"/>
      <c r="J64" s="652"/>
      <c r="M64" t="s">
        <v>297</v>
      </c>
      <c r="N64">
        <v>1347001.8373170001</v>
      </c>
      <c r="P64" t="s">
        <v>223</v>
      </c>
      <c r="Q64" s="169">
        <v>60515.210261999993</v>
      </c>
    </row>
    <row r="65" spans="3:17" x14ac:dyDescent="0.2">
      <c r="M65" t="s">
        <v>111</v>
      </c>
      <c r="N65">
        <v>125867.75503</v>
      </c>
      <c r="P65" t="s">
        <v>311</v>
      </c>
      <c r="Q65" s="169">
        <v>52503.996478000001</v>
      </c>
    </row>
    <row r="66" spans="3:17" x14ac:dyDescent="0.2">
      <c r="C66" s="650">
        <f>'Table 20 part 2'!C64:J64+1</f>
        <v>24</v>
      </c>
      <c r="D66" s="650"/>
      <c r="E66" s="650"/>
      <c r="F66" s="650"/>
      <c r="G66" s="650"/>
      <c r="H66" s="650"/>
      <c r="I66" s="650"/>
      <c r="J66" s="650"/>
      <c r="M66" t="s">
        <v>165</v>
      </c>
      <c r="N66">
        <v>98731.581900000005</v>
      </c>
      <c r="P66" t="s">
        <v>216</v>
      </c>
      <c r="Q66" s="169">
        <v>51651.910986000003</v>
      </c>
    </row>
    <row r="67" spans="3:17" x14ac:dyDescent="0.2">
      <c r="M67" t="s">
        <v>45</v>
      </c>
      <c r="N67">
        <v>2763111.9128700001</v>
      </c>
      <c r="P67" t="s">
        <v>133</v>
      </c>
      <c r="Q67" s="169">
        <v>48313.559700000005</v>
      </c>
    </row>
    <row r="68" spans="3:17" x14ac:dyDescent="0.2">
      <c r="M68" t="s">
        <v>275</v>
      </c>
      <c r="N68">
        <v>2190433.74021</v>
      </c>
      <c r="P68" t="s">
        <v>234</v>
      </c>
      <c r="Q68" s="169">
        <v>47127.644460000003</v>
      </c>
    </row>
    <row r="69" spans="3:17" ht="14.25" x14ac:dyDescent="0.2">
      <c r="M69" t="s">
        <v>405</v>
      </c>
      <c r="N69">
        <v>0</v>
      </c>
      <c r="P69" t="s">
        <v>233</v>
      </c>
      <c r="Q69" s="169">
        <v>44066.481979000004</v>
      </c>
    </row>
    <row r="70" spans="3:17" hidden="1" x14ac:dyDescent="0.2">
      <c r="D70" s="48">
        <f>SUM(D9:D62)</f>
        <v>153227320.92000002</v>
      </c>
      <c r="E70" s="48">
        <f t="shared" ref="E70:J70" si="3">SUM(E9:E62)</f>
        <v>110598813.84</v>
      </c>
      <c r="F70" s="48">
        <f t="shared" si="3"/>
        <v>41687190.919999987</v>
      </c>
      <c r="G70" s="48">
        <f t="shared" si="3"/>
        <v>152286004.76000008</v>
      </c>
      <c r="H70" s="48">
        <f t="shared" si="3"/>
        <v>765747.99</v>
      </c>
      <c r="I70" s="48">
        <f t="shared" si="3"/>
        <v>171810.22</v>
      </c>
      <c r="J70" s="48">
        <f t="shared" si="3"/>
        <v>937558.21</v>
      </c>
      <c r="M70" t="s">
        <v>306</v>
      </c>
      <c r="N70">
        <v>11492.574719</v>
      </c>
      <c r="P70" t="s">
        <v>238</v>
      </c>
      <c r="Q70" s="169">
        <v>42794.494310000002</v>
      </c>
    </row>
    <row r="71" spans="3:17" x14ac:dyDescent="0.2">
      <c r="M71" t="s">
        <v>181</v>
      </c>
      <c r="N71">
        <v>295577.203645</v>
      </c>
      <c r="P71" t="s">
        <v>241</v>
      </c>
      <c r="Q71" s="169">
        <v>27651.583121000003</v>
      </c>
    </row>
    <row r="72" spans="3:17" x14ac:dyDescent="0.2">
      <c r="M72" t="s">
        <v>151</v>
      </c>
      <c r="N72">
        <v>6213.5030040000001</v>
      </c>
      <c r="P72" t="s">
        <v>109</v>
      </c>
      <c r="Q72" s="169">
        <v>25977.475674000001</v>
      </c>
    </row>
    <row r="73" spans="3:17" x14ac:dyDescent="0.2">
      <c r="M73" t="s">
        <v>219</v>
      </c>
      <c r="N73">
        <v>12139.060372</v>
      </c>
      <c r="P73" t="s">
        <v>208</v>
      </c>
      <c r="Q73" s="169">
        <v>22743.448711999998</v>
      </c>
    </row>
    <row r="74" spans="3:17" x14ac:dyDescent="0.2">
      <c r="M74" t="s">
        <v>252</v>
      </c>
      <c r="N74">
        <v>11398.250506</v>
      </c>
      <c r="P74" t="s">
        <v>272</v>
      </c>
      <c r="Q74" s="169">
        <v>18081.969799999999</v>
      </c>
    </row>
    <row r="75" spans="3:17" x14ac:dyDescent="0.2">
      <c r="M75" t="s">
        <v>282</v>
      </c>
      <c r="N75">
        <v>66662.072251999998</v>
      </c>
      <c r="P75" t="s">
        <v>289</v>
      </c>
      <c r="Q75" s="169">
        <v>17983.700349999999</v>
      </c>
    </row>
    <row r="76" spans="3:17" x14ac:dyDescent="0.2">
      <c r="M76" t="s">
        <v>186</v>
      </c>
      <c r="N76">
        <v>182845.28207399999</v>
      </c>
      <c r="P76" t="s">
        <v>242</v>
      </c>
      <c r="Q76" s="169">
        <v>17455.807670000002</v>
      </c>
    </row>
    <row r="77" spans="3:17" x14ac:dyDescent="0.2">
      <c r="M77" t="s">
        <v>218</v>
      </c>
      <c r="N77">
        <v>75846.993787000014</v>
      </c>
      <c r="P77" t="s">
        <v>202</v>
      </c>
      <c r="Q77" s="169">
        <v>17418.725985000001</v>
      </c>
    </row>
    <row r="78" spans="3:17" x14ac:dyDescent="0.2">
      <c r="M78" t="s">
        <v>146</v>
      </c>
      <c r="N78">
        <v>1188.8076570000001</v>
      </c>
      <c r="P78" t="s">
        <v>204</v>
      </c>
      <c r="Q78" s="169">
        <v>14006.469856</v>
      </c>
    </row>
    <row r="79" spans="3:17" x14ac:dyDescent="0.2">
      <c r="M79" t="s">
        <v>223</v>
      </c>
      <c r="N79">
        <v>60515.210261999993</v>
      </c>
      <c r="P79" t="s">
        <v>86</v>
      </c>
      <c r="Q79" s="169">
        <v>13167.531002</v>
      </c>
    </row>
    <row r="80" spans="3:17" x14ac:dyDescent="0.2">
      <c r="M80" t="s">
        <v>304</v>
      </c>
      <c r="N80">
        <v>10862.576883000002</v>
      </c>
      <c r="P80" t="s">
        <v>78</v>
      </c>
      <c r="Q80" s="169">
        <v>12803.046030000001</v>
      </c>
    </row>
    <row r="81" spans="13:17" x14ac:dyDescent="0.2">
      <c r="M81" t="s">
        <v>285</v>
      </c>
      <c r="N81">
        <v>0</v>
      </c>
      <c r="P81" t="s">
        <v>248</v>
      </c>
      <c r="Q81" s="169">
        <v>12218.556350000001</v>
      </c>
    </row>
    <row r="82" spans="13:17" x14ac:dyDescent="0.2">
      <c r="M82" t="s">
        <v>176</v>
      </c>
      <c r="N82">
        <v>335250.30194999999</v>
      </c>
      <c r="P82" t="s">
        <v>219</v>
      </c>
      <c r="Q82" s="169">
        <v>12139.060372</v>
      </c>
    </row>
    <row r="83" spans="13:17" ht="14.25" x14ac:dyDescent="0.2">
      <c r="M83" t="s">
        <v>173</v>
      </c>
      <c r="N83">
        <v>90599.731006999995</v>
      </c>
      <c r="P83" t="s">
        <v>406</v>
      </c>
      <c r="Q83" s="169">
        <v>12129.822922000001</v>
      </c>
    </row>
    <row r="84" spans="13:17" x14ac:dyDescent="0.2">
      <c r="M84" t="s">
        <v>210</v>
      </c>
      <c r="N84">
        <v>543471.51670899999</v>
      </c>
      <c r="P84" t="s">
        <v>118</v>
      </c>
      <c r="Q84" s="169">
        <v>11587.358204</v>
      </c>
    </row>
    <row r="85" spans="13:17" x14ac:dyDescent="0.2">
      <c r="M85" t="s">
        <v>177</v>
      </c>
      <c r="N85">
        <v>291441.016489</v>
      </c>
      <c r="P85" t="s">
        <v>306</v>
      </c>
      <c r="Q85" s="169">
        <v>11492.574719</v>
      </c>
    </row>
    <row r="86" spans="13:17" x14ac:dyDescent="0.2">
      <c r="M86" t="s">
        <v>118</v>
      </c>
      <c r="N86">
        <v>11587.358204</v>
      </c>
      <c r="P86" t="s">
        <v>252</v>
      </c>
      <c r="Q86" s="169">
        <v>11398.250506</v>
      </c>
    </row>
    <row r="87" spans="13:17" x14ac:dyDescent="0.2">
      <c r="M87" t="s">
        <v>95</v>
      </c>
      <c r="N87">
        <v>11364187.015395999</v>
      </c>
      <c r="P87" t="s">
        <v>148</v>
      </c>
      <c r="Q87" s="169">
        <v>10927.142400000001</v>
      </c>
    </row>
    <row r="88" spans="13:17" x14ac:dyDescent="0.2">
      <c r="M88" t="s">
        <v>138</v>
      </c>
      <c r="N88">
        <v>4260815.087293</v>
      </c>
      <c r="P88" t="s">
        <v>304</v>
      </c>
      <c r="Q88" s="169">
        <v>10862.576883000002</v>
      </c>
    </row>
    <row r="89" spans="13:17" x14ac:dyDescent="0.2">
      <c r="M89" t="s">
        <v>140</v>
      </c>
      <c r="N89">
        <v>2803.5134280000002</v>
      </c>
      <c r="P89" t="s">
        <v>237</v>
      </c>
      <c r="Q89" s="169">
        <v>10482.531812000001</v>
      </c>
    </row>
    <row r="90" spans="13:17" x14ac:dyDescent="0.2">
      <c r="M90" t="s">
        <v>226</v>
      </c>
      <c r="N90">
        <v>2158896.5128279999</v>
      </c>
      <c r="P90" t="s">
        <v>114</v>
      </c>
      <c r="Q90" s="169">
        <v>9999.323617</v>
      </c>
    </row>
    <row r="91" spans="13:17" x14ac:dyDescent="0.2">
      <c r="M91" t="s">
        <v>230</v>
      </c>
      <c r="N91">
        <v>265008.98653699999</v>
      </c>
      <c r="P91" t="s">
        <v>116</v>
      </c>
      <c r="Q91" s="169">
        <v>9660.1766669999997</v>
      </c>
    </row>
    <row r="92" spans="13:17" x14ac:dyDescent="0.2">
      <c r="M92" t="s">
        <v>116</v>
      </c>
      <c r="N92">
        <v>9660.1766669999997</v>
      </c>
      <c r="P92" t="s">
        <v>253</v>
      </c>
      <c r="Q92" s="169">
        <v>9381.6588819999997</v>
      </c>
    </row>
    <row r="93" spans="13:17" x14ac:dyDescent="0.2">
      <c r="M93" t="s">
        <v>242</v>
      </c>
      <c r="N93">
        <v>17455.807670000002</v>
      </c>
      <c r="P93" t="s">
        <v>144</v>
      </c>
      <c r="Q93" s="169">
        <v>9087.8563959999992</v>
      </c>
    </row>
    <row r="94" spans="13:17" x14ac:dyDescent="0.2">
      <c r="M94" t="s">
        <v>114</v>
      </c>
      <c r="N94">
        <v>9999.323617</v>
      </c>
      <c r="P94" t="s">
        <v>130</v>
      </c>
      <c r="Q94" s="169">
        <v>8599.5405599999995</v>
      </c>
    </row>
    <row r="95" spans="13:17" x14ac:dyDescent="0.2">
      <c r="M95" t="s">
        <v>56</v>
      </c>
      <c r="N95">
        <v>5058585.9192990009</v>
      </c>
      <c r="P95" t="s">
        <v>214</v>
      </c>
      <c r="Q95" s="169">
        <v>6813.7080430000005</v>
      </c>
    </row>
    <row r="96" spans="13:17" x14ac:dyDescent="0.2">
      <c r="M96" t="s">
        <v>127</v>
      </c>
      <c r="N96">
        <v>202940.36170799998</v>
      </c>
      <c r="P96" t="s">
        <v>151</v>
      </c>
      <c r="Q96" s="169">
        <v>6213.5030040000001</v>
      </c>
    </row>
    <row r="97" spans="13:17" x14ac:dyDescent="0.2">
      <c r="M97" t="s">
        <v>97</v>
      </c>
      <c r="N97">
        <v>285328.94633499999</v>
      </c>
      <c r="P97" t="s">
        <v>258</v>
      </c>
      <c r="Q97" s="169">
        <v>3566.263567</v>
      </c>
    </row>
    <row r="98" spans="13:17" x14ac:dyDescent="0.2">
      <c r="M98" t="s">
        <v>58</v>
      </c>
      <c r="N98">
        <v>503925.09897200001</v>
      </c>
      <c r="P98" t="s">
        <v>255</v>
      </c>
      <c r="Q98" s="169">
        <v>3296.2095860000004</v>
      </c>
    </row>
    <row r="99" spans="13:17" x14ac:dyDescent="0.2">
      <c r="M99" t="s">
        <v>216</v>
      </c>
      <c r="N99">
        <v>51651.910986000003</v>
      </c>
      <c r="P99" t="s">
        <v>182</v>
      </c>
      <c r="Q99" s="169">
        <v>2998.5385529999999</v>
      </c>
    </row>
    <row r="100" spans="13:17" x14ac:dyDescent="0.2">
      <c r="M100" t="s">
        <v>287</v>
      </c>
      <c r="N100">
        <v>463850.287878</v>
      </c>
      <c r="P100" t="s">
        <v>261</v>
      </c>
      <c r="Q100" s="169">
        <v>2961.2055780000001</v>
      </c>
    </row>
    <row r="101" spans="13:17" x14ac:dyDescent="0.2">
      <c r="M101" t="s">
        <v>124</v>
      </c>
      <c r="N101">
        <v>153671.66898700001</v>
      </c>
      <c r="P101" t="s">
        <v>105</v>
      </c>
      <c r="Q101" s="169">
        <v>2957.5661099999998</v>
      </c>
    </row>
    <row r="102" spans="13:17" x14ac:dyDescent="0.2">
      <c r="M102" t="s">
        <v>59</v>
      </c>
      <c r="N102">
        <v>837097.34525899997</v>
      </c>
      <c r="P102" t="s">
        <v>140</v>
      </c>
      <c r="Q102" s="169">
        <v>2803.5134280000002</v>
      </c>
    </row>
    <row r="103" spans="13:17" x14ac:dyDescent="0.2">
      <c r="M103" t="s">
        <v>184</v>
      </c>
      <c r="N103">
        <v>164475.06682800001</v>
      </c>
      <c r="P103" t="s">
        <v>153</v>
      </c>
      <c r="Q103" s="169">
        <v>2745.963096</v>
      </c>
    </row>
    <row r="104" spans="13:17" x14ac:dyDescent="0.2">
      <c r="M104" t="s">
        <v>202</v>
      </c>
      <c r="N104">
        <v>17418.725985000001</v>
      </c>
      <c r="P104" t="s">
        <v>228</v>
      </c>
      <c r="Q104" s="169">
        <v>1687.4987190000002</v>
      </c>
    </row>
    <row r="105" spans="13:17" x14ac:dyDescent="0.2">
      <c r="M105" t="s">
        <v>248</v>
      </c>
      <c r="N105">
        <v>12218.556350000001</v>
      </c>
      <c r="P105" t="s">
        <v>167</v>
      </c>
      <c r="Q105" s="169">
        <v>1589.7602550000001</v>
      </c>
    </row>
    <row r="106" spans="13:17" x14ac:dyDescent="0.2">
      <c r="M106" t="s">
        <v>86</v>
      </c>
      <c r="N106">
        <v>13167.531002</v>
      </c>
      <c r="P106" t="s">
        <v>199</v>
      </c>
      <c r="Q106" s="169">
        <v>1425.196265</v>
      </c>
    </row>
    <row r="107" spans="13:17" x14ac:dyDescent="0.2">
      <c r="M107" t="s">
        <v>99</v>
      </c>
      <c r="N107">
        <v>296637.40262000007</v>
      </c>
      <c r="P107" t="s">
        <v>193</v>
      </c>
      <c r="Q107" s="169">
        <v>1397.794811</v>
      </c>
    </row>
    <row r="108" spans="13:17" x14ac:dyDescent="0.2">
      <c r="M108" t="s">
        <v>308</v>
      </c>
      <c r="N108">
        <v>167424.14351000002</v>
      </c>
      <c r="P108" t="s">
        <v>189</v>
      </c>
      <c r="Q108" s="169">
        <v>1224.9314750000001</v>
      </c>
    </row>
    <row r="109" spans="13:17" x14ac:dyDescent="0.2">
      <c r="M109" t="s">
        <v>133</v>
      </c>
      <c r="N109">
        <v>48313.559700000005</v>
      </c>
      <c r="P109" t="s">
        <v>146</v>
      </c>
      <c r="Q109" s="169">
        <v>1188.8076570000001</v>
      </c>
    </row>
    <row r="110" spans="13:17" ht="14.25" x14ac:dyDescent="0.2">
      <c r="M110" t="s">
        <v>167</v>
      </c>
      <c r="N110">
        <v>1589.7602550000001</v>
      </c>
      <c r="P110" t="s">
        <v>404</v>
      </c>
      <c r="Q110" s="169">
        <v>0</v>
      </c>
    </row>
    <row r="111" spans="13:17" ht="14.25" x14ac:dyDescent="0.2">
      <c r="M111" t="s">
        <v>289</v>
      </c>
      <c r="N111">
        <v>17983.700349999999</v>
      </c>
      <c r="P111" t="s">
        <v>405</v>
      </c>
      <c r="Q111" s="169">
        <v>0</v>
      </c>
    </row>
    <row r="112" spans="13:17" x14ac:dyDescent="0.2">
      <c r="M112" t="s">
        <v>214</v>
      </c>
      <c r="N112">
        <v>6813.7080430000005</v>
      </c>
      <c r="P112" t="s">
        <v>285</v>
      </c>
      <c r="Q112" s="169">
        <v>0</v>
      </c>
    </row>
    <row r="113" spans="13:14" x14ac:dyDescent="0.2">
      <c r="M113" t="s">
        <v>130</v>
      </c>
      <c r="N113">
        <v>8599.5405599999995</v>
      </c>
    </row>
  </sheetData>
  <mergeCells count="2">
    <mergeCell ref="C64:J64"/>
    <mergeCell ref="C66:J66"/>
  </mergeCells>
  <phoneticPr fontId="38" type="noConversion"/>
  <printOptions horizontalCentered="1" verticalCentered="1"/>
  <pageMargins left="0.75" right="0.75" top="0.75" bottom="0.75" header="0.5" footer="0.5"/>
  <pageSetup scale="61" orientation="portrait" r:id="rId1"/>
  <headerFooter alignWithMargins="0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50"/>
    <pageSetUpPr fitToPage="1"/>
  </sheetPr>
  <dimension ref="C1:O125"/>
  <sheetViews>
    <sheetView showGridLines="0" showZeros="0" zoomScaleNormal="100" zoomScaleSheetLayoutView="100" workbookViewId="0">
      <selection activeCell="C13" sqref="C13"/>
    </sheetView>
  </sheetViews>
  <sheetFormatPr defaultRowHeight="12.75" x14ac:dyDescent="0.2"/>
  <cols>
    <col min="3" max="3" width="21.7109375" customWidth="1"/>
    <col min="4" max="4" width="18.42578125" customWidth="1"/>
    <col min="5" max="5" width="17.28515625" customWidth="1"/>
    <col min="6" max="6" width="19.140625" customWidth="1"/>
    <col min="7" max="7" width="16.7109375" customWidth="1"/>
    <col min="8" max="8" width="12.7109375" customWidth="1"/>
    <col min="9" max="9" width="13.42578125" customWidth="1"/>
    <col min="10" max="10" width="15.7109375" customWidth="1"/>
    <col min="11" max="11" width="5" customWidth="1"/>
    <col min="12" max="12" width="11" bestFit="1" customWidth="1"/>
    <col min="13" max="13" width="12.7109375" customWidth="1"/>
    <col min="14" max="14" width="14.85546875" customWidth="1"/>
    <col min="15" max="15" width="19" style="225" customWidth="1"/>
  </cols>
  <sheetData>
    <row r="1" spans="3:10" ht="15" x14ac:dyDescent="0.25">
      <c r="C1" s="82" t="s">
        <v>437</v>
      </c>
    </row>
    <row r="2" spans="3:10" ht="15" x14ac:dyDescent="0.25">
      <c r="C2" s="73" t="s">
        <v>491</v>
      </c>
      <c r="F2" s="73" t="str">
        <f>'table 1 &amp; 2'!C2</f>
        <v>2025 Tax Year</v>
      </c>
    </row>
    <row r="4" spans="3:10" ht="16.5" x14ac:dyDescent="0.25">
      <c r="C4" s="76" t="s">
        <v>329</v>
      </c>
    </row>
    <row r="5" spans="3:10" ht="15.75" x14ac:dyDescent="0.25">
      <c r="C5" s="3" t="s">
        <v>517</v>
      </c>
      <c r="D5" s="7"/>
      <c r="E5" s="7"/>
      <c r="F5" s="7"/>
      <c r="G5" s="7"/>
      <c r="H5" s="7"/>
      <c r="I5" s="3" t="str">
        <f>F2</f>
        <v>2025 Tax Year</v>
      </c>
      <c r="J5" s="7"/>
    </row>
    <row r="6" spans="3:10" ht="6" customHeight="1" x14ac:dyDescent="0.25">
      <c r="C6" s="3"/>
      <c r="D6" s="7"/>
      <c r="E6" s="7"/>
      <c r="F6" s="7"/>
      <c r="G6" s="7"/>
      <c r="H6" s="7"/>
      <c r="I6" s="7"/>
      <c r="J6" s="7"/>
    </row>
    <row r="7" spans="3:10" x14ac:dyDescent="0.2">
      <c r="C7" s="6"/>
      <c r="D7" s="6"/>
      <c r="E7" s="117"/>
      <c r="G7" s="21"/>
      <c r="H7" s="81" t="s">
        <v>335</v>
      </c>
      <c r="I7" s="6"/>
      <c r="J7" s="6"/>
    </row>
    <row r="8" spans="3:10" ht="13.5" thickBot="1" x14ac:dyDescent="0.25">
      <c r="C8" s="23" t="s">
        <v>75</v>
      </c>
      <c r="D8" s="67" t="s">
        <v>63</v>
      </c>
      <c r="E8" s="25" t="s">
        <v>9</v>
      </c>
      <c r="F8" s="24" t="s">
        <v>28</v>
      </c>
      <c r="G8" s="67" t="s">
        <v>29</v>
      </c>
      <c r="H8" s="25" t="s">
        <v>30</v>
      </c>
      <c r="I8" s="24" t="s">
        <v>10</v>
      </c>
      <c r="J8" s="67" t="s">
        <v>29</v>
      </c>
    </row>
    <row r="9" spans="3:10" x14ac:dyDescent="0.2">
      <c r="C9" s="52" t="s">
        <v>279</v>
      </c>
      <c r="D9" s="53">
        <f>G9+J9</f>
        <v>16107602.33</v>
      </c>
      <c r="E9" s="242">
        <v>11799288.76</v>
      </c>
      <c r="F9" s="89">
        <v>4308313.57</v>
      </c>
      <c r="G9" s="89">
        <f>SUM(E9:F9)</f>
        <v>16107602.33</v>
      </c>
      <c r="H9" s="90">
        <v>0</v>
      </c>
      <c r="I9" s="80">
        <v>0</v>
      </c>
      <c r="J9" s="89">
        <v>0</v>
      </c>
    </row>
    <row r="10" spans="3:10" x14ac:dyDescent="0.2">
      <c r="C10" t="s">
        <v>297</v>
      </c>
      <c r="D10" s="48">
        <f t="shared" ref="D10:D60" si="0">G10+J10</f>
        <v>1879366.21</v>
      </c>
      <c r="E10" s="85">
        <v>1197689.92</v>
      </c>
      <c r="F10" s="86">
        <v>681676.29</v>
      </c>
      <c r="G10" s="86">
        <f t="shared" ref="G10:G60" si="1">SUM(E10:F10)</f>
        <v>1879366.21</v>
      </c>
      <c r="H10" s="193">
        <v>0</v>
      </c>
      <c r="I10" s="79">
        <v>0</v>
      </c>
      <c r="J10" s="79">
        <v>0</v>
      </c>
    </row>
    <row r="11" spans="3:10" x14ac:dyDescent="0.2">
      <c r="C11" s="52" t="s">
        <v>111</v>
      </c>
      <c r="D11" s="53">
        <f t="shared" si="0"/>
        <v>325084.49</v>
      </c>
      <c r="E11" s="88">
        <v>230470.51</v>
      </c>
      <c r="F11" s="89">
        <v>94613.98</v>
      </c>
      <c r="G11" s="89">
        <f t="shared" si="1"/>
        <v>325084.49</v>
      </c>
      <c r="H11" s="90">
        <v>0</v>
      </c>
      <c r="I11" s="80">
        <v>0</v>
      </c>
      <c r="J11" s="80">
        <v>0</v>
      </c>
    </row>
    <row r="12" spans="3:10" x14ac:dyDescent="0.2">
      <c r="C12" t="s">
        <v>165</v>
      </c>
      <c r="D12" s="48">
        <f t="shared" si="0"/>
        <v>135839.04999999999</v>
      </c>
      <c r="E12" s="85">
        <v>37437.4</v>
      </c>
      <c r="F12" s="86">
        <v>98401.65</v>
      </c>
      <c r="G12" s="86">
        <f t="shared" si="1"/>
        <v>135839.04999999999</v>
      </c>
      <c r="H12" s="193">
        <v>0</v>
      </c>
      <c r="I12" s="79">
        <v>0</v>
      </c>
      <c r="J12" s="79">
        <v>0</v>
      </c>
    </row>
    <row r="13" spans="3:10" x14ac:dyDescent="0.2">
      <c r="C13" s="52" t="s">
        <v>45</v>
      </c>
      <c r="D13" s="53">
        <f t="shared" si="0"/>
        <v>3774327.22</v>
      </c>
      <c r="E13" s="88">
        <v>3265257.97</v>
      </c>
      <c r="F13" s="89">
        <v>509069.25</v>
      </c>
      <c r="G13" s="89">
        <f t="shared" si="1"/>
        <v>3774327.22</v>
      </c>
      <c r="H13" s="90">
        <v>0</v>
      </c>
      <c r="I13" s="80">
        <v>0</v>
      </c>
      <c r="J13" s="80">
        <v>0</v>
      </c>
    </row>
    <row r="14" spans="3:10" x14ac:dyDescent="0.2">
      <c r="C14" t="s">
        <v>275</v>
      </c>
      <c r="D14" s="48">
        <f t="shared" si="0"/>
        <v>5322795.8499999996</v>
      </c>
      <c r="E14" s="85">
        <v>3471845.65</v>
      </c>
      <c r="F14" s="86">
        <v>1850950.2</v>
      </c>
      <c r="G14" s="86">
        <f t="shared" si="1"/>
        <v>5322795.8499999996</v>
      </c>
      <c r="H14" s="193">
        <v>0</v>
      </c>
      <c r="I14" s="79">
        <v>0</v>
      </c>
      <c r="J14" s="79">
        <v>0</v>
      </c>
    </row>
    <row r="15" spans="3:10" x14ac:dyDescent="0.2">
      <c r="C15" s="333" t="s">
        <v>443</v>
      </c>
      <c r="D15" s="53"/>
      <c r="E15" s="88">
        <v>0</v>
      </c>
      <c r="F15" s="89">
        <v>0</v>
      </c>
      <c r="G15" s="89">
        <f t="shared" si="1"/>
        <v>0</v>
      </c>
      <c r="H15" s="90">
        <v>0</v>
      </c>
      <c r="I15" s="80">
        <v>0</v>
      </c>
      <c r="J15" s="80">
        <v>0</v>
      </c>
    </row>
    <row r="16" spans="3:10" x14ac:dyDescent="0.2">
      <c r="C16" t="s">
        <v>306</v>
      </c>
      <c r="D16" s="48">
        <f t="shared" si="0"/>
        <v>33488.15</v>
      </c>
      <c r="E16" s="85">
        <v>16165.28</v>
      </c>
      <c r="F16" s="86">
        <v>17322.87</v>
      </c>
      <c r="G16" s="86">
        <f t="shared" si="1"/>
        <v>33488.15</v>
      </c>
      <c r="H16" s="193">
        <v>0</v>
      </c>
      <c r="I16" s="79">
        <v>0</v>
      </c>
      <c r="J16" s="79">
        <v>0</v>
      </c>
    </row>
    <row r="17" spans="3:10" x14ac:dyDescent="0.2">
      <c r="C17" s="52" t="s">
        <v>181</v>
      </c>
      <c r="D17" s="53">
        <f t="shared" si="0"/>
        <v>623051.62</v>
      </c>
      <c r="E17" s="88">
        <v>373262.67</v>
      </c>
      <c r="F17" s="89">
        <v>249788.95</v>
      </c>
      <c r="G17" s="89">
        <f t="shared" si="1"/>
        <v>623051.62</v>
      </c>
      <c r="H17" s="90">
        <v>0</v>
      </c>
      <c r="I17" s="80">
        <v>0</v>
      </c>
      <c r="J17" s="80">
        <v>0</v>
      </c>
    </row>
    <row r="18" spans="3:10" x14ac:dyDescent="0.2">
      <c r="C18" t="s">
        <v>151</v>
      </c>
      <c r="D18" s="48">
        <f t="shared" si="0"/>
        <v>13974.68</v>
      </c>
      <c r="E18" s="85">
        <v>5030.62</v>
      </c>
      <c r="F18" s="86">
        <v>8944.06</v>
      </c>
      <c r="G18" s="86">
        <f t="shared" si="1"/>
        <v>13974.68</v>
      </c>
      <c r="H18" s="193">
        <v>0</v>
      </c>
      <c r="I18" s="79">
        <v>0</v>
      </c>
      <c r="J18" s="79">
        <v>0</v>
      </c>
    </row>
    <row r="19" spans="3:10" x14ac:dyDescent="0.2">
      <c r="C19" s="52" t="s">
        <v>219</v>
      </c>
      <c r="D19" s="53">
        <f t="shared" si="0"/>
        <v>22397.15</v>
      </c>
      <c r="E19" s="88">
        <v>12862.76</v>
      </c>
      <c r="F19" s="89">
        <v>9534.39</v>
      </c>
      <c r="G19" s="89">
        <f t="shared" si="1"/>
        <v>22397.15</v>
      </c>
      <c r="H19" s="90">
        <v>0</v>
      </c>
      <c r="I19" s="80">
        <v>0</v>
      </c>
      <c r="J19" s="80">
        <v>0</v>
      </c>
    </row>
    <row r="20" spans="3:10" x14ac:dyDescent="0.2">
      <c r="C20" t="s">
        <v>252</v>
      </c>
      <c r="D20" s="48">
        <f t="shared" si="0"/>
        <v>22721.08</v>
      </c>
      <c r="E20" s="85">
        <v>12292.17</v>
      </c>
      <c r="F20" s="86">
        <v>10428.91</v>
      </c>
      <c r="G20" s="86">
        <f t="shared" si="1"/>
        <v>22721.08</v>
      </c>
      <c r="H20" s="193">
        <v>0</v>
      </c>
      <c r="I20" s="79">
        <v>0</v>
      </c>
      <c r="J20" s="79">
        <v>0</v>
      </c>
    </row>
    <row r="21" spans="3:10" x14ac:dyDescent="0.2">
      <c r="C21" s="52" t="s">
        <v>282</v>
      </c>
      <c r="D21" s="53">
        <f t="shared" si="0"/>
        <v>105802.15</v>
      </c>
      <c r="E21" s="88">
        <v>74560.23</v>
      </c>
      <c r="F21" s="89">
        <v>31241.919999999998</v>
      </c>
      <c r="G21" s="89">
        <f t="shared" si="1"/>
        <v>105802.15</v>
      </c>
      <c r="H21" s="90">
        <v>0</v>
      </c>
      <c r="I21" s="80">
        <v>0</v>
      </c>
      <c r="J21" s="80">
        <v>0</v>
      </c>
    </row>
    <row r="22" spans="3:10" x14ac:dyDescent="0.2">
      <c r="C22" t="s">
        <v>186</v>
      </c>
      <c r="D22" s="48">
        <f t="shared" si="0"/>
        <v>308750.31</v>
      </c>
      <c r="E22" s="85">
        <v>35396.44</v>
      </c>
      <c r="F22" s="86">
        <v>273353.87</v>
      </c>
      <c r="G22" s="86">
        <f t="shared" si="1"/>
        <v>308750.31</v>
      </c>
      <c r="H22" s="193">
        <v>0</v>
      </c>
      <c r="I22" s="79">
        <v>0</v>
      </c>
      <c r="J22" s="79">
        <v>0</v>
      </c>
    </row>
    <row r="23" spans="3:10" x14ac:dyDescent="0.2">
      <c r="C23" s="52" t="s">
        <v>218</v>
      </c>
      <c r="D23" s="53">
        <f t="shared" si="0"/>
        <v>128352.71</v>
      </c>
      <c r="E23" s="88">
        <v>47263.05</v>
      </c>
      <c r="F23" s="89">
        <v>81089.66</v>
      </c>
      <c r="G23" s="89">
        <f t="shared" si="1"/>
        <v>128352.71</v>
      </c>
      <c r="H23" s="90">
        <v>0</v>
      </c>
      <c r="I23" s="80">
        <v>0</v>
      </c>
      <c r="J23" s="80">
        <v>0</v>
      </c>
    </row>
    <row r="24" spans="3:10" x14ac:dyDescent="0.2">
      <c r="C24" t="s">
        <v>146</v>
      </c>
      <c r="D24" s="48">
        <f t="shared" si="0"/>
        <v>2375.0299999999997</v>
      </c>
      <c r="E24" s="85">
        <v>911.74</v>
      </c>
      <c r="F24" s="86">
        <v>1463.29</v>
      </c>
      <c r="G24" s="86">
        <f t="shared" si="1"/>
        <v>2375.0299999999997</v>
      </c>
      <c r="H24" s="193">
        <v>0</v>
      </c>
      <c r="I24" s="79">
        <v>0</v>
      </c>
      <c r="J24" s="79">
        <v>0</v>
      </c>
    </row>
    <row r="25" spans="3:10" x14ac:dyDescent="0.2">
      <c r="C25" s="52" t="s">
        <v>223</v>
      </c>
      <c r="D25" s="53">
        <f t="shared" si="0"/>
        <v>75567.790000000008</v>
      </c>
      <c r="E25" s="88">
        <v>39750.03</v>
      </c>
      <c r="F25" s="89">
        <v>35817.760000000002</v>
      </c>
      <c r="G25" s="89">
        <f t="shared" si="1"/>
        <v>75567.790000000008</v>
      </c>
      <c r="H25" s="90">
        <v>0</v>
      </c>
      <c r="I25" s="80">
        <v>0</v>
      </c>
      <c r="J25" s="80">
        <v>0</v>
      </c>
    </row>
    <row r="26" spans="3:10" x14ac:dyDescent="0.2">
      <c r="C26" t="s">
        <v>304</v>
      </c>
      <c r="D26" s="48">
        <f t="shared" si="0"/>
        <v>18719.89</v>
      </c>
      <c r="E26" s="85">
        <v>10330.43</v>
      </c>
      <c r="F26" s="86">
        <v>8389.4599999999991</v>
      </c>
      <c r="G26" s="86">
        <f t="shared" si="1"/>
        <v>18719.89</v>
      </c>
      <c r="H26" s="193">
        <v>0</v>
      </c>
      <c r="I26" s="79">
        <v>0</v>
      </c>
      <c r="J26" s="79">
        <v>0</v>
      </c>
    </row>
    <row r="27" spans="3:10" x14ac:dyDescent="0.2">
      <c r="C27" s="333" t="s">
        <v>285</v>
      </c>
      <c r="D27" s="53">
        <f t="shared" si="0"/>
        <v>241986.81</v>
      </c>
      <c r="E27" s="88">
        <v>218402.78</v>
      </c>
      <c r="F27" s="89">
        <v>23584.03</v>
      </c>
      <c r="G27" s="89">
        <f t="shared" si="1"/>
        <v>241986.81</v>
      </c>
      <c r="H27" s="90">
        <v>0</v>
      </c>
      <c r="I27" s="80">
        <v>0</v>
      </c>
      <c r="J27" s="80">
        <v>0</v>
      </c>
    </row>
    <row r="28" spans="3:10" x14ac:dyDescent="0.2">
      <c r="C28" t="s">
        <v>176</v>
      </c>
      <c r="D28" s="48">
        <f t="shared" si="0"/>
        <v>891989.4</v>
      </c>
      <c r="E28" s="85">
        <v>614874.17000000004</v>
      </c>
      <c r="F28" s="86">
        <v>277115.23</v>
      </c>
      <c r="G28" s="86">
        <f t="shared" si="1"/>
        <v>891989.4</v>
      </c>
      <c r="H28" s="193">
        <v>0</v>
      </c>
      <c r="I28" s="79">
        <v>0</v>
      </c>
      <c r="J28" s="79">
        <v>0</v>
      </c>
    </row>
    <row r="29" spans="3:10" x14ac:dyDescent="0.2">
      <c r="C29" s="52" t="s">
        <v>173</v>
      </c>
      <c r="D29" s="53">
        <f t="shared" si="0"/>
        <v>212900.63</v>
      </c>
      <c r="E29" s="88">
        <v>113848.19</v>
      </c>
      <c r="F29" s="89">
        <v>99052.44</v>
      </c>
      <c r="G29" s="89">
        <f t="shared" si="1"/>
        <v>212900.63</v>
      </c>
      <c r="H29" s="90">
        <v>0</v>
      </c>
      <c r="I29" s="80">
        <v>0</v>
      </c>
      <c r="J29" s="80">
        <v>0</v>
      </c>
    </row>
    <row r="30" spans="3:10" x14ac:dyDescent="0.2">
      <c r="C30" t="s">
        <v>210</v>
      </c>
      <c r="D30" s="48">
        <f t="shared" si="0"/>
        <v>750738.1</v>
      </c>
      <c r="E30" s="85">
        <v>453308.72</v>
      </c>
      <c r="F30" s="86">
        <v>297429.38</v>
      </c>
      <c r="G30" s="86">
        <f t="shared" si="1"/>
        <v>750738.1</v>
      </c>
      <c r="H30" s="193">
        <v>0</v>
      </c>
      <c r="I30" s="79">
        <v>0</v>
      </c>
      <c r="J30" s="79">
        <v>0</v>
      </c>
    </row>
    <row r="31" spans="3:10" x14ac:dyDescent="0.2">
      <c r="C31" s="52" t="s">
        <v>177</v>
      </c>
      <c r="D31" s="53">
        <f t="shared" si="0"/>
        <v>505908.47000000003</v>
      </c>
      <c r="E31" s="88">
        <v>308740.78000000003</v>
      </c>
      <c r="F31" s="89">
        <v>197167.69</v>
      </c>
      <c r="G31" s="89">
        <f t="shared" si="1"/>
        <v>505908.47000000003</v>
      </c>
      <c r="H31" s="90">
        <v>0</v>
      </c>
      <c r="I31" s="80">
        <v>0</v>
      </c>
      <c r="J31" s="80">
        <v>0</v>
      </c>
    </row>
    <row r="32" spans="3:10" x14ac:dyDescent="0.2">
      <c r="C32" t="s">
        <v>118</v>
      </c>
      <c r="D32" s="48">
        <f t="shared" si="0"/>
        <v>17081.78</v>
      </c>
      <c r="E32" s="85">
        <v>6302.48</v>
      </c>
      <c r="F32" s="86">
        <v>10779.3</v>
      </c>
      <c r="G32" s="86">
        <f t="shared" si="1"/>
        <v>17081.78</v>
      </c>
      <c r="H32" s="193">
        <v>0</v>
      </c>
      <c r="I32" s="79">
        <v>0</v>
      </c>
      <c r="J32" s="79">
        <v>0</v>
      </c>
    </row>
    <row r="33" spans="3:10" x14ac:dyDescent="0.2">
      <c r="C33" s="333" t="s">
        <v>459</v>
      </c>
      <c r="D33" s="53">
        <f t="shared" si="0"/>
        <v>291694.2</v>
      </c>
      <c r="E33" s="88">
        <v>256118.88</v>
      </c>
      <c r="F33" s="89">
        <v>35575.32</v>
      </c>
      <c r="G33" s="89">
        <f t="shared" si="1"/>
        <v>291694.2</v>
      </c>
      <c r="H33" s="90">
        <v>0</v>
      </c>
      <c r="I33" s="80">
        <v>0</v>
      </c>
      <c r="J33" s="80">
        <v>0</v>
      </c>
    </row>
    <row r="34" spans="3:10" x14ac:dyDescent="0.2">
      <c r="C34" t="s">
        <v>95</v>
      </c>
      <c r="D34" s="48">
        <f t="shared" si="0"/>
        <v>25778654.219999999</v>
      </c>
      <c r="E34" s="85">
        <v>21032931.829999998</v>
      </c>
      <c r="F34" s="86">
        <v>4745722.3899999997</v>
      </c>
      <c r="G34" s="86">
        <f t="shared" si="1"/>
        <v>25778654.219999999</v>
      </c>
      <c r="H34" s="193">
        <v>0</v>
      </c>
      <c r="I34" s="79">
        <v>0</v>
      </c>
      <c r="J34" s="79">
        <v>0</v>
      </c>
    </row>
    <row r="35" spans="3:10" x14ac:dyDescent="0.2">
      <c r="C35" s="52" t="s">
        <v>138</v>
      </c>
      <c r="D35" s="53">
        <f t="shared" si="0"/>
        <v>6306512.7299999995</v>
      </c>
      <c r="E35" s="88">
        <v>4267694.97</v>
      </c>
      <c r="F35" s="89">
        <v>2038817.76</v>
      </c>
      <c r="G35" s="89">
        <f t="shared" si="1"/>
        <v>6306512.7299999995</v>
      </c>
      <c r="H35" s="90">
        <v>0</v>
      </c>
      <c r="I35" s="80">
        <v>0</v>
      </c>
      <c r="J35" s="80">
        <v>0</v>
      </c>
    </row>
    <row r="36" spans="3:10" x14ac:dyDescent="0.2">
      <c r="C36" t="s">
        <v>140</v>
      </c>
      <c r="D36" s="48">
        <f t="shared" si="0"/>
        <v>4908.92</v>
      </c>
      <c r="E36" s="85">
        <v>2319.42</v>
      </c>
      <c r="F36" s="86">
        <v>2589.5</v>
      </c>
      <c r="G36" s="86">
        <f t="shared" si="1"/>
        <v>4908.92</v>
      </c>
      <c r="H36" s="193">
        <v>0</v>
      </c>
      <c r="I36" s="79">
        <v>0</v>
      </c>
      <c r="J36" s="79">
        <v>0</v>
      </c>
    </row>
    <row r="37" spans="3:10" x14ac:dyDescent="0.2">
      <c r="C37" s="52" t="s">
        <v>226</v>
      </c>
      <c r="D37" s="53">
        <f t="shared" si="0"/>
        <v>3353504.21</v>
      </c>
      <c r="E37" s="88">
        <v>2503321.94</v>
      </c>
      <c r="F37" s="89">
        <v>850182.27</v>
      </c>
      <c r="G37" s="89">
        <f t="shared" si="1"/>
        <v>3353504.21</v>
      </c>
      <c r="H37" s="90">
        <v>0</v>
      </c>
      <c r="I37" s="80">
        <v>0</v>
      </c>
      <c r="J37" s="80">
        <v>0</v>
      </c>
    </row>
    <row r="38" spans="3:10" x14ac:dyDescent="0.2">
      <c r="C38" t="s">
        <v>230</v>
      </c>
      <c r="D38" s="48">
        <f t="shared" si="0"/>
        <v>369010.58999999997</v>
      </c>
      <c r="E38" s="85">
        <v>178457.12</v>
      </c>
      <c r="F38" s="86">
        <v>190553.47</v>
      </c>
      <c r="G38" s="86">
        <f t="shared" si="1"/>
        <v>369010.58999999997</v>
      </c>
      <c r="H38" s="193">
        <v>0</v>
      </c>
      <c r="I38" s="79">
        <v>0</v>
      </c>
      <c r="J38" s="79">
        <v>0</v>
      </c>
    </row>
    <row r="39" spans="3:10" x14ac:dyDescent="0.2">
      <c r="C39" s="52" t="s">
        <v>116</v>
      </c>
      <c r="D39" s="53">
        <f t="shared" si="0"/>
        <v>22674.57</v>
      </c>
      <c r="E39" s="88">
        <v>5673.49</v>
      </c>
      <c r="F39" s="89">
        <v>17001.080000000002</v>
      </c>
      <c r="G39" s="89">
        <f t="shared" si="1"/>
        <v>22674.57</v>
      </c>
      <c r="H39" s="90">
        <v>0</v>
      </c>
      <c r="I39" s="80">
        <v>0</v>
      </c>
      <c r="J39" s="80">
        <v>0</v>
      </c>
    </row>
    <row r="40" spans="3:10" x14ac:dyDescent="0.2">
      <c r="C40" t="s">
        <v>242</v>
      </c>
      <c r="D40" s="48">
        <f t="shared" si="0"/>
        <v>37786.22</v>
      </c>
      <c r="E40" s="85">
        <v>17271.12</v>
      </c>
      <c r="F40" s="86">
        <v>20515.099999999999</v>
      </c>
      <c r="G40" s="86">
        <f t="shared" si="1"/>
        <v>37786.22</v>
      </c>
      <c r="H40" s="193">
        <v>0</v>
      </c>
      <c r="I40" s="79">
        <v>0</v>
      </c>
      <c r="J40" s="79">
        <v>0</v>
      </c>
    </row>
    <row r="41" spans="3:10" x14ac:dyDescent="0.2">
      <c r="C41" s="52" t="s">
        <v>114</v>
      </c>
      <c r="D41" s="53">
        <f t="shared" si="0"/>
        <v>53805.08</v>
      </c>
      <c r="E41" s="88">
        <v>42233.51</v>
      </c>
      <c r="F41" s="89">
        <v>11571.57</v>
      </c>
      <c r="G41" s="89">
        <f t="shared" si="1"/>
        <v>53805.08</v>
      </c>
      <c r="H41" s="90">
        <v>0</v>
      </c>
      <c r="I41" s="80">
        <v>0</v>
      </c>
      <c r="J41" s="80">
        <v>0</v>
      </c>
    </row>
    <row r="42" spans="3:10" x14ac:dyDescent="0.2">
      <c r="C42" t="s">
        <v>56</v>
      </c>
      <c r="D42" s="48">
        <f t="shared" si="0"/>
        <v>11087057.539999999</v>
      </c>
      <c r="E42" s="85">
        <v>6680655.4100000001</v>
      </c>
      <c r="F42" s="86">
        <v>4406402.13</v>
      </c>
      <c r="G42" s="86">
        <f t="shared" si="1"/>
        <v>11087057.539999999</v>
      </c>
      <c r="H42" s="193">
        <v>0</v>
      </c>
      <c r="I42" s="79">
        <v>0</v>
      </c>
      <c r="J42" s="79">
        <v>0</v>
      </c>
    </row>
    <row r="43" spans="3:10" x14ac:dyDescent="0.2">
      <c r="C43" s="52" t="s">
        <v>127</v>
      </c>
      <c r="D43" s="53">
        <f t="shared" si="0"/>
        <v>274916.54000000004</v>
      </c>
      <c r="E43" s="88">
        <v>104000.19</v>
      </c>
      <c r="F43" s="89">
        <v>170916.35</v>
      </c>
      <c r="G43" s="89">
        <f t="shared" si="1"/>
        <v>274916.54000000004</v>
      </c>
      <c r="H43" s="90">
        <v>0</v>
      </c>
      <c r="I43" s="80">
        <v>0</v>
      </c>
      <c r="J43" s="80">
        <v>0</v>
      </c>
    </row>
    <row r="44" spans="3:10" x14ac:dyDescent="0.2">
      <c r="C44" t="s">
        <v>97</v>
      </c>
      <c r="D44" s="48">
        <f t="shared" si="0"/>
        <v>770298.62</v>
      </c>
      <c r="E44" s="85">
        <v>474728.52</v>
      </c>
      <c r="F44" s="86">
        <v>295570.09999999998</v>
      </c>
      <c r="G44" s="86">
        <f t="shared" si="1"/>
        <v>770298.62</v>
      </c>
      <c r="H44" s="193">
        <v>0</v>
      </c>
      <c r="I44" s="79">
        <v>0</v>
      </c>
      <c r="J44" s="79">
        <v>0</v>
      </c>
    </row>
    <row r="45" spans="3:10" x14ac:dyDescent="0.2">
      <c r="C45" s="52" t="s">
        <v>58</v>
      </c>
      <c r="D45" s="53">
        <f t="shared" si="0"/>
        <v>844232.73</v>
      </c>
      <c r="E45" s="88">
        <v>536952.59</v>
      </c>
      <c r="F45" s="89">
        <v>307280.14</v>
      </c>
      <c r="G45" s="89">
        <f t="shared" si="1"/>
        <v>844232.73</v>
      </c>
      <c r="H45" s="90">
        <v>0</v>
      </c>
      <c r="I45" s="80">
        <v>0</v>
      </c>
      <c r="J45" s="80">
        <v>0</v>
      </c>
    </row>
    <row r="46" spans="3:10" x14ac:dyDescent="0.2">
      <c r="C46" t="s">
        <v>216</v>
      </c>
      <c r="D46" s="48">
        <f t="shared" si="0"/>
        <v>86820.28</v>
      </c>
      <c r="E46" s="85">
        <v>55117.71</v>
      </c>
      <c r="F46" s="86">
        <v>31702.57</v>
      </c>
      <c r="G46" s="86">
        <f t="shared" si="1"/>
        <v>86820.28</v>
      </c>
      <c r="H46" s="193">
        <v>0</v>
      </c>
      <c r="I46" s="79">
        <v>0</v>
      </c>
      <c r="J46" s="79">
        <v>0</v>
      </c>
    </row>
    <row r="47" spans="3:10" x14ac:dyDescent="0.2">
      <c r="C47" s="52" t="s">
        <v>287</v>
      </c>
      <c r="D47" s="53">
        <f t="shared" si="0"/>
        <v>2963312.2800000003</v>
      </c>
      <c r="E47" s="88">
        <v>2073354.98</v>
      </c>
      <c r="F47" s="89">
        <v>889957.3</v>
      </c>
      <c r="G47" s="89">
        <f t="shared" si="1"/>
        <v>2963312.2800000003</v>
      </c>
      <c r="H47" s="90">
        <v>0</v>
      </c>
      <c r="I47" s="80">
        <v>0</v>
      </c>
      <c r="J47" s="80">
        <v>0</v>
      </c>
    </row>
    <row r="48" spans="3:10" x14ac:dyDescent="0.2">
      <c r="C48" s="321" t="s">
        <v>59</v>
      </c>
      <c r="D48" s="48">
        <f t="shared" si="0"/>
        <v>1411197.02</v>
      </c>
      <c r="E48" s="85">
        <v>619563.62</v>
      </c>
      <c r="F48" s="86">
        <v>791633.4</v>
      </c>
      <c r="G48" s="86">
        <f t="shared" si="1"/>
        <v>1411197.02</v>
      </c>
      <c r="H48" s="193">
        <v>0</v>
      </c>
      <c r="I48" s="79">
        <v>0</v>
      </c>
      <c r="J48" s="79">
        <v>0</v>
      </c>
    </row>
    <row r="49" spans="3:11" x14ac:dyDescent="0.2">
      <c r="C49" s="52" t="s">
        <v>184</v>
      </c>
      <c r="D49" s="53">
        <f>G49+J49</f>
        <v>991237.12</v>
      </c>
      <c r="E49" s="88">
        <v>468181.62</v>
      </c>
      <c r="F49" s="89">
        <v>523055.5</v>
      </c>
      <c r="G49" s="89">
        <f t="shared" si="1"/>
        <v>991237.12</v>
      </c>
      <c r="H49" s="90">
        <v>0</v>
      </c>
      <c r="I49" s="80">
        <v>0</v>
      </c>
      <c r="J49" s="80">
        <v>0</v>
      </c>
    </row>
    <row r="50" spans="3:11" x14ac:dyDescent="0.2">
      <c r="C50" t="s">
        <v>202</v>
      </c>
      <c r="D50" s="48">
        <f t="shared" si="0"/>
        <v>39943.369999999995</v>
      </c>
      <c r="E50" s="85">
        <v>17093.25</v>
      </c>
      <c r="F50" s="86">
        <v>22850.12</v>
      </c>
      <c r="G50" s="86">
        <f t="shared" si="1"/>
        <v>39943.369999999995</v>
      </c>
      <c r="H50" s="193">
        <v>0</v>
      </c>
      <c r="I50" s="79">
        <v>0</v>
      </c>
      <c r="J50" s="79">
        <v>0</v>
      </c>
    </row>
    <row r="51" spans="3:11" x14ac:dyDescent="0.2">
      <c r="C51" s="52" t="s">
        <v>248</v>
      </c>
      <c r="D51" s="53">
        <f t="shared" si="0"/>
        <v>21268.09</v>
      </c>
      <c r="E51" s="88">
        <v>12364.7</v>
      </c>
      <c r="F51" s="89">
        <v>8903.39</v>
      </c>
      <c r="G51" s="89">
        <f t="shared" si="1"/>
        <v>21268.09</v>
      </c>
      <c r="H51" s="90">
        <v>0</v>
      </c>
      <c r="I51" s="80">
        <v>0</v>
      </c>
      <c r="J51" s="80">
        <v>0</v>
      </c>
    </row>
    <row r="52" spans="3:11" x14ac:dyDescent="0.2">
      <c r="C52" t="s">
        <v>86</v>
      </c>
      <c r="D52" s="48">
        <f t="shared" si="0"/>
        <v>41618.520000000004</v>
      </c>
      <c r="E52" s="85">
        <v>9540.91</v>
      </c>
      <c r="F52" s="86">
        <v>32077.61</v>
      </c>
      <c r="G52" s="86">
        <f t="shared" si="1"/>
        <v>41618.520000000004</v>
      </c>
      <c r="H52" s="193">
        <v>0</v>
      </c>
      <c r="I52" s="79">
        <v>0</v>
      </c>
      <c r="J52" s="79">
        <v>0</v>
      </c>
    </row>
    <row r="53" spans="3:11" x14ac:dyDescent="0.2">
      <c r="C53" s="52" t="s">
        <v>553</v>
      </c>
      <c r="D53" s="53">
        <f t="shared" si="0"/>
        <v>213425.77000000002</v>
      </c>
      <c r="E53" s="88">
        <v>119250.3</v>
      </c>
      <c r="F53" s="89">
        <v>94175.47</v>
      </c>
      <c r="G53" s="89">
        <f t="shared" si="1"/>
        <v>213425.77000000002</v>
      </c>
      <c r="H53" s="90">
        <v>0</v>
      </c>
      <c r="I53" s="80">
        <v>0</v>
      </c>
      <c r="J53" s="80">
        <v>0</v>
      </c>
    </row>
    <row r="54" spans="3:11" x14ac:dyDescent="0.2">
      <c r="C54" t="s">
        <v>99</v>
      </c>
      <c r="D54" s="48">
        <f t="shared" si="0"/>
        <v>538294.43999999994</v>
      </c>
      <c r="E54" s="85">
        <v>146370.10999999999</v>
      </c>
      <c r="F54" s="86">
        <v>391924.33</v>
      </c>
      <c r="G54" s="86">
        <f t="shared" si="1"/>
        <v>538294.43999999994</v>
      </c>
      <c r="H54" s="193">
        <v>0</v>
      </c>
      <c r="I54" s="79">
        <v>0</v>
      </c>
      <c r="J54" s="79">
        <v>0</v>
      </c>
    </row>
    <row r="55" spans="3:11" x14ac:dyDescent="0.2">
      <c r="C55" s="52" t="s">
        <v>308</v>
      </c>
      <c r="D55" s="53">
        <f t="shared" si="0"/>
        <v>262517.36</v>
      </c>
      <c r="E55" s="88">
        <v>166897.53</v>
      </c>
      <c r="F55" s="89">
        <v>95619.83</v>
      </c>
      <c r="G55" s="89">
        <f t="shared" si="1"/>
        <v>262517.36</v>
      </c>
      <c r="H55" s="90">
        <v>0</v>
      </c>
      <c r="I55" s="80">
        <v>0</v>
      </c>
      <c r="J55" s="80">
        <v>0</v>
      </c>
    </row>
    <row r="56" spans="3:11" x14ac:dyDescent="0.2">
      <c r="C56" t="s">
        <v>133</v>
      </c>
      <c r="D56" s="48">
        <f t="shared" si="0"/>
        <v>82216.709999999992</v>
      </c>
      <c r="E56" s="85">
        <v>16654.59</v>
      </c>
      <c r="F56" s="86">
        <v>65562.12</v>
      </c>
      <c r="G56" s="86">
        <f t="shared" si="1"/>
        <v>82216.709999999992</v>
      </c>
      <c r="H56" s="193">
        <v>0</v>
      </c>
      <c r="I56" s="79">
        <v>0</v>
      </c>
      <c r="J56" s="79">
        <v>0</v>
      </c>
    </row>
    <row r="57" spans="3:11" x14ac:dyDescent="0.2">
      <c r="C57" s="52" t="s">
        <v>167</v>
      </c>
      <c r="D57" s="53">
        <f t="shared" si="0"/>
        <v>2015.14</v>
      </c>
      <c r="E57" s="88">
        <v>1184.93</v>
      </c>
      <c r="F57" s="89">
        <v>830.21</v>
      </c>
      <c r="G57" s="89">
        <f t="shared" si="1"/>
        <v>2015.14</v>
      </c>
      <c r="H57" s="90">
        <v>0</v>
      </c>
      <c r="I57" s="80">
        <v>0</v>
      </c>
      <c r="J57" s="80">
        <v>0</v>
      </c>
    </row>
    <row r="58" spans="3:11" x14ac:dyDescent="0.2">
      <c r="C58" t="s">
        <v>289</v>
      </c>
      <c r="D58" s="48">
        <f t="shared" si="0"/>
        <v>48246.39</v>
      </c>
      <c r="E58" s="85">
        <v>17422.98</v>
      </c>
      <c r="F58" s="86">
        <v>30823.41</v>
      </c>
      <c r="G58" s="86">
        <f t="shared" si="1"/>
        <v>48246.39</v>
      </c>
      <c r="H58" s="193">
        <v>0</v>
      </c>
      <c r="I58" s="79">
        <v>0</v>
      </c>
      <c r="J58" s="79">
        <v>0</v>
      </c>
    </row>
    <row r="59" spans="3:11" x14ac:dyDescent="0.2">
      <c r="C59" s="52" t="s">
        <v>214</v>
      </c>
      <c r="D59" s="53">
        <f t="shared" si="0"/>
        <v>12812.79</v>
      </c>
      <c r="E59" s="88">
        <v>5938.3</v>
      </c>
      <c r="F59" s="89">
        <v>6874.49</v>
      </c>
      <c r="G59" s="89">
        <f t="shared" si="1"/>
        <v>12812.79</v>
      </c>
      <c r="H59" s="90">
        <v>0</v>
      </c>
      <c r="I59" s="80">
        <v>0</v>
      </c>
      <c r="J59" s="80">
        <v>0</v>
      </c>
    </row>
    <row r="60" spans="3:11" x14ac:dyDescent="0.2">
      <c r="C60" s="453" t="s">
        <v>130</v>
      </c>
      <c r="D60" s="454">
        <f t="shared" si="0"/>
        <v>11733.77</v>
      </c>
      <c r="E60" s="455">
        <v>8566.08</v>
      </c>
      <c r="F60" s="454">
        <v>3167.69</v>
      </c>
      <c r="G60" s="454">
        <f t="shared" si="1"/>
        <v>11733.77</v>
      </c>
      <c r="H60" s="455">
        <v>0</v>
      </c>
      <c r="I60" s="454">
        <v>0</v>
      </c>
      <c r="J60" s="454">
        <v>0</v>
      </c>
    </row>
    <row r="61" spans="3:11" ht="13.5" thickBot="1" x14ac:dyDescent="0.25">
      <c r="C61" s="496" t="s">
        <v>0</v>
      </c>
      <c r="D61" s="494">
        <f>G61+J61</f>
        <v>240666099.09</v>
      </c>
      <c r="E61" s="495">
        <f>SUM('Table 21 part A'!E9:E62)+SUM('Table 21 part B'!E9:E60)</f>
        <v>172783967.19</v>
      </c>
      <c r="F61" s="495">
        <f>SUM('Table 21 part A'!F9:F62)+SUM('Table 21 part B'!F9:F60)</f>
        <v>66944573.68999999</v>
      </c>
      <c r="G61" s="494">
        <f>E61+F61</f>
        <v>239728540.88</v>
      </c>
      <c r="H61" s="495">
        <f>SUM('Table 21 part A'!H9:H62)+SUM('Table 21 part B'!H9:H60)</f>
        <v>765747.99</v>
      </c>
      <c r="I61" s="495">
        <f>SUM('Table 21 part A'!I9:I62)+SUM('Table 21 part B'!I9:I60)</f>
        <v>171810.22</v>
      </c>
      <c r="J61" s="495">
        <f>H61+I61</f>
        <v>937558.21</v>
      </c>
    </row>
    <row r="62" spans="3:11" ht="14.25" x14ac:dyDescent="0.2">
      <c r="C62" s="652" t="s">
        <v>518</v>
      </c>
      <c r="D62" s="652"/>
      <c r="E62" s="652"/>
      <c r="F62" s="652"/>
      <c r="G62" s="652"/>
      <c r="H62" s="652"/>
      <c r="I62" s="652"/>
      <c r="J62" s="652"/>
    </row>
    <row r="63" spans="3:11" x14ac:dyDescent="0.2">
      <c r="J63" s="48"/>
    </row>
    <row r="64" spans="3:11" x14ac:dyDescent="0.2">
      <c r="C64" s="650">
        <f>+'Table 21 part A'!C66:J66+1</f>
        <v>25</v>
      </c>
      <c r="D64" s="650"/>
      <c r="E64" s="650"/>
      <c r="F64" s="650"/>
      <c r="G64" s="650"/>
      <c r="H64" s="650"/>
      <c r="I64" s="650"/>
      <c r="J64" s="650"/>
      <c r="K64" s="650"/>
    </row>
    <row r="65" spans="4:11" x14ac:dyDescent="0.2">
      <c r="H65">
        <f>+H595</f>
        <v>0</v>
      </c>
    </row>
    <row r="66" spans="4:11" x14ac:dyDescent="0.2">
      <c r="H66" s="48"/>
    </row>
    <row r="67" spans="4:11" hidden="1" x14ac:dyDescent="0.2">
      <c r="D67">
        <f>+'Table 21 part A'!D70</f>
        <v>153227320.92000002</v>
      </c>
      <c r="E67">
        <f>+'Table 21 part A'!E70</f>
        <v>110598813.84</v>
      </c>
      <c r="F67">
        <f>+'Table 21 part A'!F70</f>
        <v>41687190.919999987</v>
      </c>
      <c r="G67">
        <f>+'Table 21 part A'!G70</f>
        <v>152286004.76000008</v>
      </c>
      <c r="H67">
        <f>+'Table 21 part A'!H70</f>
        <v>765747.99</v>
      </c>
      <c r="I67">
        <f>+'Table 21 part A'!I70</f>
        <v>171810.22</v>
      </c>
      <c r="J67">
        <f>+'Table 21 part A'!J70</f>
        <v>937558.21</v>
      </c>
      <c r="K67" t="s">
        <v>422</v>
      </c>
    </row>
    <row r="72" spans="4:11" x14ac:dyDescent="0.2">
      <c r="I72" s="113"/>
    </row>
    <row r="123" spans="14:15" x14ac:dyDescent="0.2">
      <c r="N123" s="487"/>
      <c r="O123" s="488"/>
    </row>
    <row r="124" spans="14:15" x14ac:dyDescent="0.2">
      <c r="N124" s="487"/>
      <c r="O124" s="488"/>
    </row>
    <row r="125" spans="14:15" x14ac:dyDescent="0.2">
      <c r="N125" s="487"/>
      <c r="O125" s="488"/>
    </row>
  </sheetData>
  <sortState xmlns:xlrd2="http://schemas.microsoft.com/office/spreadsheetml/2017/richdata2" ref="N20:O125">
    <sortCondition descending="1" ref="O20:O125"/>
  </sortState>
  <mergeCells count="2">
    <mergeCell ref="C64:K64"/>
    <mergeCell ref="C62:J62"/>
  </mergeCells>
  <phoneticPr fontId="38" type="noConversion"/>
  <printOptions horizontalCentered="1" verticalCentered="1"/>
  <pageMargins left="0.75" right="0.75" top="0.5" bottom="0.5" header="0.5" footer="0.5"/>
  <pageSetup scale="58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50"/>
    <pageSetUpPr fitToPage="1"/>
  </sheetPr>
  <dimension ref="C1:U99"/>
  <sheetViews>
    <sheetView showGridLines="0" showZeros="0" zoomScaleNormal="100" zoomScaleSheetLayoutView="100" workbookViewId="0">
      <selection activeCell="C5" sqref="C5"/>
    </sheetView>
  </sheetViews>
  <sheetFormatPr defaultRowHeight="12.75" x14ac:dyDescent="0.2"/>
  <cols>
    <col min="3" max="3" width="13.42578125" customWidth="1"/>
    <col min="4" max="4" width="14.28515625" customWidth="1"/>
    <col min="5" max="6" width="12.85546875" customWidth="1"/>
    <col min="7" max="7" width="12.140625" customWidth="1"/>
    <col min="8" max="8" width="10.7109375" customWidth="1"/>
    <col min="9" max="9" width="2.5703125" customWidth="1"/>
    <col min="10" max="10" width="22" customWidth="1"/>
    <col min="11" max="11" width="13.85546875" bestFit="1" customWidth="1"/>
    <col min="12" max="12" width="14.28515625" customWidth="1"/>
    <col min="13" max="13" width="12.85546875" customWidth="1"/>
    <col min="14" max="14" width="12.140625" customWidth="1"/>
    <col min="15" max="15" width="12" customWidth="1"/>
    <col min="19" max="19" width="28.7109375" bestFit="1" customWidth="1"/>
    <col min="20" max="20" width="12.85546875" customWidth="1"/>
    <col min="21" max="21" width="10.7109375" customWidth="1"/>
  </cols>
  <sheetData>
    <row r="1" spans="3:15" ht="15" x14ac:dyDescent="0.25">
      <c r="C1" s="82" t="s">
        <v>438</v>
      </c>
      <c r="D1" s="83"/>
      <c r="E1" s="83"/>
      <c r="F1" s="83"/>
      <c r="G1" s="83"/>
    </row>
    <row r="2" spans="3:15" ht="15" x14ac:dyDescent="0.25">
      <c r="C2" s="73" t="s">
        <v>491</v>
      </c>
      <c r="D2" s="83"/>
      <c r="E2" s="83"/>
      <c r="F2" s="73" t="str">
        <f>'table 1 &amp; 2'!C2</f>
        <v>2025 Tax Year</v>
      </c>
      <c r="G2" s="83"/>
    </row>
    <row r="5" spans="3:15" ht="18" x14ac:dyDescent="0.25">
      <c r="C5" s="5" t="s">
        <v>519</v>
      </c>
      <c r="D5" s="7"/>
      <c r="E5" s="7"/>
      <c r="F5" s="7"/>
      <c r="G5" s="7"/>
      <c r="H5" s="7"/>
      <c r="I5" s="7"/>
      <c r="J5" s="7"/>
      <c r="K5" s="5" t="str">
        <f>F2</f>
        <v>2025 Tax Year</v>
      </c>
      <c r="L5" s="7"/>
      <c r="M5" s="7"/>
      <c r="N5" s="7"/>
      <c r="O5" s="7"/>
    </row>
    <row r="6" spans="3:15" ht="18" x14ac:dyDescent="0.25">
      <c r="C6" s="5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3:15" x14ac:dyDescent="0.2">
      <c r="C7" s="7"/>
      <c r="D7" s="7"/>
      <c r="E7" s="268"/>
      <c r="F7" s="7"/>
      <c r="G7" s="7"/>
      <c r="H7" s="21"/>
      <c r="I7" s="268"/>
      <c r="J7" s="268"/>
      <c r="K7" s="7"/>
      <c r="L7" s="268"/>
      <c r="M7" s="7"/>
      <c r="N7" s="7"/>
      <c r="O7" s="381"/>
    </row>
    <row r="8" spans="3:15" x14ac:dyDescent="0.2">
      <c r="C8" s="6"/>
      <c r="D8" s="6"/>
      <c r="E8" s="117"/>
      <c r="G8" t="s">
        <v>4</v>
      </c>
      <c r="H8" s="46" t="s">
        <v>4</v>
      </c>
      <c r="I8" s="49"/>
      <c r="J8" s="6"/>
      <c r="K8" s="6"/>
      <c r="L8" s="117"/>
      <c r="N8" t="s">
        <v>4</v>
      </c>
      <c r="O8" s="382" t="s">
        <v>4</v>
      </c>
    </row>
    <row r="9" spans="3:15" ht="13.5" thickBot="1" x14ac:dyDescent="0.25">
      <c r="C9" s="23" t="s">
        <v>75</v>
      </c>
      <c r="D9" s="67" t="s">
        <v>338</v>
      </c>
      <c r="E9" s="220" t="s">
        <v>9</v>
      </c>
      <c r="F9" s="67" t="s">
        <v>28</v>
      </c>
      <c r="G9" s="380" t="s">
        <v>30</v>
      </c>
      <c r="H9" s="379" t="s">
        <v>447</v>
      </c>
      <c r="I9" s="62"/>
      <c r="J9" s="23" t="s">
        <v>75</v>
      </c>
      <c r="K9" s="67" t="s">
        <v>63</v>
      </c>
      <c r="L9" s="25" t="s">
        <v>9</v>
      </c>
      <c r="M9" s="24" t="s">
        <v>28</v>
      </c>
      <c r="N9" s="380" t="s">
        <v>448</v>
      </c>
      <c r="O9" s="383" t="s">
        <v>447</v>
      </c>
    </row>
    <row r="10" spans="3:15" x14ac:dyDescent="0.2">
      <c r="C10" s="53" t="s">
        <v>303</v>
      </c>
      <c r="D10" s="53">
        <f>SUM(E10:H10)</f>
        <v>1322706.43</v>
      </c>
      <c r="E10" s="228">
        <v>979615.19</v>
      </c>
      <c r="F10" s="53">
        <v>343091.24</v>
      </c>
      <c r="G10" s="53">
        <v>0</v>
      </c>
      <c r="H10" s="53">
        <v>0</v>
      </c>
      <c r="I10" s="57">
        <v>0</v>
      </c>
      <c r="J10" s="52" t="s">
        <v>279</v>
      </c>
      <c r="K10" s="53">
        <f>SUM(L10:O10)</f>
        <v>7093193.7300000004</v>
      </c>
      <c r="L10" s="228">
        <v>5288983.92</v>
      </c>
      <c r="M10" s="53">
        <v>1804209.81</v>
      </c>
      <c r="N10" s="53">
        <v>0</v>
      </c>
      <c r="O10" s="384">
        <v>0</v>
      </c>
    </row>
    <row r="11" spans="3:15" x14ac:dyDescent="0.2">
      <c r="C11" t="s">
        <v>76</v>
      </c>
      <c r="D11" s="48">
        <f t="shared" ref="D11:D63" si="0">SUM(E11:H11)</f>
        <v>91686984.50999999</v>
      </c>
      <c r="E11" s="222">
        <v>70650098.439999998</v>
      </c>
      <c r="F11" s="48">
        <v>21036886.07</v>
      </c>
      <c r="G11" s="48">
        <v>0</v>
      </c>
      <c r="H11" s="48">
        <v>0</v>
      </c>
      <c r="I11" s="49">
        <v>0</v>
      </c>
      <c r="J11" t="s">
        <v>297</v>
      </c>
      <c r="K11" s="48">
        <f t="shared" ref="K11:K61" si="1">SUM(L11:O11)</f>
        <v>0</v>
      </c>
      <c r="L11" s="222">
        <v>0</v>
      </c>
      <c r="M11" s="48">
        <v>0</v>
      </c>
      <c r="N11" s="48">
        <v>0</v>
      </c>
      <c r="O11" s="385">
        <v>0</v>
      </c>
    </row>
    <row r="12" spans="3:15" x14ac:dyDescent="0.2">
      <c r="C12" s="52" t="s">
        <v>206</v>
      </c>
      <c r="D12" s="53">
        <f t="shared" si="0"/>
        <v>1469666.44</v>
      </c>
      <c r="E12" s="228">
        <v>1236754.17</v>
      </c>
      <c r="F12" s="53">
        <v>232912.27</v>
      </c>
      <c r="G12" s="53">
        <v>0</v>
      </c>
      <c r="H12" s="53">
        <v>0</v>
      </c>
      <c r="I12" s="57">
        <v>0</v>
      </c>
      <c r="J12" s="52" t="s">
        <v>111</v>
      </c>
      <c r="K12" s="53">
        <f t="shared" si="1"/>
        <v>0</v>
      </c>
      <c r="L12" s="228">
        <v>0</v>
      </c>
      <c r="M12" s="53">
        <v>0</v>
      </c>
      <c r="N12" s="53">
        <v>0</v>
      </c>
      <c r="O12" s="384">
        <v>0</v>
      </c>
    </row>
    <row r="13" spans="3:15" x14ac:dyDescent="0.2">
      <c r="C13" t="s">
        <v>441</v>
      </c>
      <c r="D13" s="48">
        <f t="shared" si="0"/>
        <v>453432.01</v>
      </c>
      <c r="E13" s="222">
        <v>322668</v>
      </c>
      <c r="F13" s="48">
        <v>130764.01</v>
      </c>
      <c r="G13" s="48">
        <v>0</v>
      </c>
      <c r="H13" s="48">
        <v>0</v>
      </c>
      <c r="I13" s="49"/>
      <c r="J13" t="s">
        <v>165</v>
      </c>
      <c r="K13" s="48">
        <f t="shared" si="1"/>
        <v>0</v>
      </c>
      <c r="L13" s="222">
        <v>0</v>
      </c>
      <c r="M13" s="48">
        <v>0</v>
      </c>
      <c r="N13" s="48">
        <v>0</v>
      </c>
      <c r="O13" s="385">
        <v>0</v>
      </c>
    </row>
    <row r="14" spans="3:15" x14ac:dyDescent="0.2">
      <c r="C14" s="52" t="s">
        <v>310</v>
      </c>
      <c r="D14" s="53">
        <f t="shared" si="0"/>
        <v>0</v>
      </c>
      <c r="E14" s="228">
        <v>0</v>
      </c>
      <c r="F14" s="53">
        <v>0</v>
      </c>
      <c r="G14" s="53">
        <v>0</v>
      </c>
      <c r="H14" s="53">
        <v>0</v>
      </c>
      <c r="I14" s="57">
        <v>0</v>
      </c>
      <c r="J14" s="52" t="s">
        <v>45</v>
      </c>
      <c r="K14" s="53">
        <f t="shared" si="1"/>
        <v>0</v>
      </c>
      <c r="L14" s="228">
        <v>0</v>
      </c>
      <c r="M14" s="53">
        <v>0</v>
      </c>
      <c r="N14" s="53">
        <v>0</v>
      </c>
      <c r="O14" s="384">
        <v>0</v>
      </c>
    </row>
    <row r="15" spans="3:15" x14ac:dyDescent="0.2">
      <c r="C15" t="s">
        <v>270</v>
      </c>
      <c r="D15" s="48">
        <f t="shared" si="0"/>
        <v>0</v>
      </c>
      <c r="E15" s="222">
        <v>0</v>
      </c>
      <c r="F15" s="48">
        <v>0</v>
      </c>
      <c r="G15" s="48">
        <v>0</v>
      </c>
      <c r="H15" s="48">
        <v>0</v>
      </c>
      <c r="I15" s="49">
        <v>0</v>
      </c>
      <c r="J15" t="s">
        <v>275</v>
      </c>
      <c r="K15" s="48">
        <f t="shared" si="1"/>
        <v>486857.82999999996</v>
      </c>
      <c r="L15" s="222">
        <v>325423.43</v>
      </c>
      <c r="M15" s="48">
        <v>161434.4</v>
      </c>
      <c r="N15" s="48">
        <v>0</v>
      </c>
      <c r="O15" s="385">
        <v>0</v>
      </c>
    </row>
    <row r="16" spans="3:15" x14ac:dyDescent="0.2">
      <c r="C16" s="52" t="s">
        <v>109</v>
      </c>
      <c r="D16" s="53">
        <f t="shared" si="0"/>
        <v>0</v>
      </c>
      <c r="E16" s="228">
        <v>0</v>
      </c>
      <c r="F16" s="53">
        <v>0</v>
      </c>
      <c r="G16" s="53">
        <v>0</v>
      </c>
      <c r="H16" s="53">
        <v>0</v>
      </c>
      <c r="I16" s="57">
        <v>0</v>
      </c>
      <c r="J16" s="386" t="s">
        <v>82</v>
      </c>
      <c r="K16" s="53">
        <f t="shared" si="1"/>
        <v>545675.62</v>
      </c>
      <c r="L16" s="228">
        <v>487980.47</v>
      </c>
      <c r="M16" s="53">
        <v>57695.15</v>
      </c>
      <c r="N16" s="53">
        <v>0</v>
      </c>
      <c r="O16" s="384">
        <v>0</v>
      </c>
    </row>
    <row r="17" spans="3:15" x14ac:dyDescent="0.2">
      <c r="C17" t="s">
        <v>281</v>
      </c>
      <c r="D17" s="48">
        <f t="shared" si="0"/>
        <v>577009.28</v>
      </c>
      <c r="E17" s="222">
        <v>298952.28999999998</v>
      </c>
      <c r="F17" s="48">
        <v>278056.99</v>
      </c>
      <c r="G17" s="48">
        <v>0</v>
      </c>
      <c r="H17" s="48">
        <v>0</v>
      </c>
      <c r="I17" s="49">
        <v>0</v>
      </c>
      <c r="J17" t="s">
        <v>306</v>
      </c>
      <c r="K17" s="48">
        <f t="shared" si="1"/>
        <v>0</v>
      </c>
      <c r="L17" s="222">
        <v>0</v>
      </c>
      <c r="M17" s="48">
        <v>0</v>
      </c>
      <c r="N17" s="48">
        <v>0</v>
      </c>
      <c r="O17" s="385">
        <v>0</v>
      </c>
    </row>
    <row r="18" spans="3:15" x14ac:dyDescent="0.2">
      <c r="C18" s="52" t="s">
        <v>31</v>
      </c>
      <c r="D18" s="53">
        <f t="shared" si="0"/>
        <v>0</v>
      </c>
      <c r="E18" s="228">
        <v>0</v>
      </c>
      <c r="F18" s="53">
        <v>0</v>
      </c>
      <c r="G18" s="53">
        <v>0</v>
      </c>
      <c r="H18" s="53">
        <v>0</v>
      </c>
      <c r="I18" s="57">
        <v>0</v>
      </c>
      <c r="J18" s="52" t="s">
        <v>181</v>
      </c>
      <c r="K18" s="53">
        <f t="shared" si="1"/>
        <v>0</v>
      </c>
      <c r="L18" s="228">
        <v>0</v>
      </c>
      <c r="M18" s="53">
        <v>0</v>
      </c>
      <c r="N18" s="53">
        <v>0</v>
      </c>
      <c r="O18" s="384">
        <v>0</v>
      </c>
    </row>
    <row r="19" spans="3:15" x14ac:dyDescent="0.2">
      <c r="C19" t="s">
        <v>277</v>
      </c>
      <c r="D19" s="48">
        <f>SUM(E19:H19)</f>
        <v>0</v>
      </c>
      <c r="E19" s="222">
        <v>0</v>
      </c>
      <c r="F19" s="48">
        <v>0</v>
      </c>
      <c r="G19" s="48">
        <v>0</v>
      </c>
      <c r="H19" s="48">
        <v>0</v>
      </c>
      <c r="I19" s="49"/>
      <c r="J19" t="s">
        <v>151</v>
      </c>
      <c r="K19" s="48">
        <f t="shared" si="1"/>
        <v>0</v>
      </c>
      <c r="L19" s="222">
        <v>0</v>
      </c>
      <c r="M19" s="48">
        <v>0</v>
      </c>
      <c r="N19" s="48">
        <v>0</v>
      </c>
      <c r="O19" s="385">
        <v>0</v>
      </c>
    </row>
    <row r="20" spans="3:15" x14ac:dyDescent="0.2">
      <c r="C20" s="52" t="s">
        <v>278</v>
      </c>
      <c r="D20" s="53">
        <f t="shared" si="0"/>
        <v>0</v>
      </c>
      <c r="E20" s="228">
        <v>0</v>
      </c>
      <c r="F20" s="53">
        <v>0</v>
      </c>
      <c r="G20" s="53">
        <v>0</v>
      </c>
      <c r="H20" s="53">
        <v>0</v>
      </c>
      <c r="I20" s="57">
        <v>0</v>
      </c>
      <c r="J20" s="52" t="s">
        <v>219</v>
      </c>
      <c r="K20" s="53">
        <f t="shared" si="1"/>
        <v>0</v>
      </c>
      <c r="L20" s="228">
        <v>0</v>
      </c>
      <c r="M20" s="53">
        <v>0</v>
      </c>
      <c r="N20" s="53">
        <v>0</v>
      </c>
      <c r="O20" s="384">
        <v>0</v>
      </c>
    </row>
    <row r="21" spans="3:15" x14ac:dyDescent="0.2">
      <c r="C21" t="s">
        <v>241</v>
      </c>
      <c r="D21" s="48">
        <f t="shared" si="0"/>
        <v>0</v>
      </c>
      <c r="E21" s="222">
        <v>0</v>
      </c>
      <c r="F21" s="48">
        <v>0</v>
      </c>
      <c r="G21" s="48">
        <v>0</v>
      </c>
      <c r="H21" s="48">
        <v>0</v>
      </c>
      <c r="I21" s="49">
        <v>0</v>
      </c>
      <c r="J21" t="s">
        <v>252</v>
      </c>
      <c r="K21" s="48">
        <f t="shared" si="1"/>
        <v>0</v>
      </c>
      <c r="L21" s="222">
        <v>0</v>
      </c>
      <c r="M21" s="48">
        <v>0</v>
      </c>
      <c r="N21" s="48">
        <v>0</v>
      </c>
      <c r="O21" s="385">
        <v>0</v>
      </c>
    </row>
    <row r="22" spans="3:15" x14ac:dyDescent="0.2">
      <c r="C22" s="52" t="s">
        <v>301</v>
      </c>
      <c r="D22" s="53">
        <f t="shared" si="0"/>
        <v>0</v>
      </c>
      <c r="E22" s="228">
        <v>0</v>
      </c>
      <c r="F22" s="53">
        <v>0</v>
      </c>
      <c r="G22" s="53">
        <v>0</v>
      </c>
      <c r="H22" s="53">
        <v>0</v>
      </c>
      <c r="I22" s="262">
        <v>0</v>
      </c>
      <c r="J22" s="52" t="s">
        <v>282</v>
      </c>
      <c r="K22" s="53">
        <f t="shared" si="1"/>
        <v>0</v>
      </c>
      <c r="L22" s="228">
        <v>0</v>
      </c>
      <c r="M22" s="53">
        <v>0</v>
      </c>
      <c r="N22" s="53">
        <v>0</v>
      </c>
      <c r="O22" s="384">
        <v>0</v>
      </c>
    </row>
    <row r="23" spans="3:15" x14ac:dyDescent="0.2">
      <c r="C23" t="s">
        <v>233</v>
      </c>
      <c r="D23" s="48">
        <f t="shared" si="0"/>
        <v>0</v>
      </c>
      <c r="E23" s="222">
        <v>0</v>
      </c>
      <c r="F23" s="48">
        <v>0</v>
      </c>
      <c r="G23" s="48">
        <v>0</v>
      </c>
      <c r="H23" s="48">
        <v>0</v>
      </c>
      <c r="I23" s="49">
        <v>0</v>
      </c>
      <c r="J23" t="s">
        <v>186</v>
      </c>
      <c r="K23" s="48">
        <f t="shared" si="1"/>
        <v>0</v>
      </c>
      <c r="L23" s="222">
        <v>0</v>
      </c>
      <c r="M23" s="48">
        <v>0</v>
      </c>
      <c r="N23" s="48">
        <v>0</v>
      </c>
      <c r="O23" s="385">
        <v>0</v>
      </c>
    </row>
    <row r="24" spans="3:15" x14ac:dyDescent="0.2">
      <c r="C24" s="52" t="s">
        <v>193</v>
      </c>
      <c r="D24" s="53">
        <f t="shared" si="0"/>
        <v>0</v>
      </c>
      <c r="E24" s="228">
        <v>0</v>
      </c>
      <c r="F24" s="53">
        <v>0</v>
      </c>
      <c r="G24" s="53">
        <v>0</v>
      </c>
      <c r="H24" s="53">
        <v>0</v>
      </c>
      <c r="I24" s="57">
        <v>0</v>
      </c>
      <c r="J24" s="52" t="s">
        <v>218</v>
      </c>
      <c r="K24" s="53">
        <f t="shared" si="1"/>
        <v>0</v>
      </c>
      <c r="L24" s="228">
        <v>0</v>
      </c>
      <c r="M24" s="53">
        <v>0</v>
      </c>
      <c r="N24" s="53">
        <v>0</v>
      </c>
      <c r="O24" s="384">
        <v>0</v>
      </c>
    </row>
    <row r="25" spans="3:15" x14ac:dyDescent="0.2">
      <c r="C25" t="s">
        <v>155</v>
      </c>
      <c r="D25" s="48">
        <f t="shared" si="0"/>
        <v>0</v>
      </c>
      <c r="E25" s="222">
        <v>0</v>
      </c>
      <c r="F25" s="48">
        <v>0</v>
      </c>
      <c r="G25" s="48">
        <v>0</v>
      </c>
      <c r="H25" s="48">
        <v>0</v>
      </c>
      <c r="I25" s="263">
        <v>0</v>
      </c>
      <c r="J25" t="s">
        <v>146</v>
      </c>
      <c r="K25" s="48">
        <f t="shared" si="1"/>
        <v>0</v>
      </c>
      <c r="L25" s="222">
        <v>0</v>
      </c>
      <c r="M25" s="48">
        <v>0</v>
      </c>
      <c r="N25" s="48">
        <v>0</v>
      </c>
      <c r="O25" s="385">
        <v>0</v>
      </c>
    </row>
    <row r="26" spans="3:15" x14ac:dyDescent="0.2">
      <c r="C26" s="52" t="s">
        <v>201</v>
      </c>
      <c r="D26" s="53">
        <f t="shared" si="0"/>
        <v>0</v>
      </c>
      <c r="E26" s="228">
        <v>0</v>
      </c>
      <c r="F26" s="53">
        <v>0</v>
      </c>
      <c r="G26" s="53">
        <v>0</v>
      </c>
      <c r="H26" s="53">
        <v>0</v>
      </c>
      <c r="I26" s="57">
        <v>0</v>
      </c>
      <c r="J26" s="52" t="s">
        <v>223</v>
      </c>
      <c r="K26" s="53">
        <f t="shared" si="1"/>
        <v>0</v>
      </c>
      <c r="L26" s="228">
        <v>0</v>
      </c>
      <c r="M26" s="53">
        <v>0</v>
      </c>
      <c r="N26" s="53">
        <v>0</v>
      </c>
      <c r="O26" s="384">
        <v>0</v>
      </c>
    </row>
    <row r="27" spans="3:15" x14ac:dyDescent="0.2">
      <c r="C27" t="s">
        <v>251</v>
      </c>
      <c r="D27" s="48">
        <f t="shared" si="0"/>
        <v>0</v>
      </c>
      <c r="E27" s="222">
        <v>0</v>
      </c>
      <c r="F27" s="48">
        <v>0</v>
      </c>
      <c r="G27" s="48">
        <v>0</v>
      </c>
      <c r="H27" s="48">
        <v>0</v>
      </c>
      <c r="I27" s="49">
        <v>0</v>
      </c>
      <c r="J27" t="s">
        <v>304</v>
      </c>
      <c r="K27" s="48">
        <f t="shared" si="1"/>
        <v>0</v>
      </c>
      <c r="L27" s="222">
        <v>0</v>
      </c>
      <c r="M27" s="48">
        <v>0</v>
      </c>
      <c r="N27" s="48">
        <v>0</v>
      </c>
      <c r="O27" s="385">
        <v>0</v>
      </c>
    </row>
    <row r="28" spans="3:15" x14ac:dyDescent="0.2">
      <c r="C28" s="52" t="s">
        <v>311</v>
      </c>
      <c r="D28" s="53">
        <f t="shared" si="0"/>
        <v>0</v>
      </c>
      <c r="E28" s="228">
        <v>0</v>
      </c>
      <c r="F28" s="53">
        <v>0</v>
      </c>
      <c r="G28" s="53">
        <v>0</v>
      </c>
      <c r="H28" s="53">
        <v>0</v>
      </c>
      <c r="I28" s="57">
        <v>0</v>
      </c>
      <c r="J28" s="52" t="s">
        <v>285</v>
      </c>
      <c r="K28" s="53">
        <f t="shared" si="1"/>
        <v>0</v>
      </c>
      <c r="L28" s="228">
        <v>0</v>
      </c>
      <c r="M28" s="53">
        <v>0</v>
      </c>
      <c r="N28" s="53">
        <v>0</v>
      </c>
      <c r="O28" s="384">
        <v>0</v>
      </c>
    </row>
    <row r="29" spans="3:15" x14ac:dyDescent="0.2">
      <c r="C29" t="s">
        <v>244</v>
      </c>
      <c r="D29" s="48">
        <f t="shared" si="0"/>
        <v>0</v>
      </c>
      <c r="E29" s="222">
        <v>0</v>
      </c>
      <c r="F29" s="48">
        <v>0</v>
      </c>
      <c r="G29" s="48">
        <v>0</v>
      </c>
      <c r="H29" s="48">
        <v>0</v>
      </c>
      <c r="I29" s="49">
        <v>0</v>
      </c>
      <c r="J29" t="s">
        <v>176</v>
      </c>
      <c r="K29" s="48">
        <f t="shared" si="1"/>
        <v>0</v>
      </c>
      <c r="L29" s="222">
        <v>0</v>
      </c>
      <c r="M29" s="48">
        <v>0</v>
      </c>
      <c r="N29" s="48">
        <v>0</v>
      </c>
      <c r="O29" s="385">
        <v>0</v>
      </c>
    </row>
    <row r="30" spans="3:15" x14ac:dyDescent="0.2">
      <c r="C30" s="52" t="s">
        <v>269</v>
      </c>
      <c r="D30" s="53">
        <f t="shared" si="0"/>
        <v>0</v>
      </c>
      <c r="E30" s="228">
        <v>0</v>
      </c>
      <c r="F30" s="53">
        <v>0</v>
      </c>
      <c r="G30" s="53">
        <v>0</v>
      </c>
      <c r="H30" s="53">
        <v>0</v>
      </c>
      <c r="I30" s="57">
        <v>0</v>
      </c>
      <c r="J30" s="52" t="s">
        <v>173</v>
      </c>
      <c r="K30" s="53">
        <f t="shared" si="1"/>
        <v>0</v>
      </c>
      <c r="L30" s="228">
        <v>0</v>
      </c>
      <c r="M30" s="53">
        <v>0</v>
      </c>
      <c r="N30" s="53">
        <v>0</v>
      </c>
      <c r="O30" s="384">
        <v>0</v>
      </c>
    </row>
    <row r="31" spans="3:15" x14ac:dyDescent="0.2">
      <c r="C31" t="s">
        <v>237</v>
      </c>
      <c r="D31" s="48">
        <f t="shared" si="0"/>
        <v>0</v>
      </c>
      <c r="E31" s="222">
        <v>0</v>
      </c>
      <c r="F31" s="48">
        <v>0</v>
      </c>
      <c r="G31" s="48">
        <v>0</v>
      </c>
      <c r="H31" s="48">
        <v>0</v>
      </c>
      <c r="I31" s="49">
        <v>0</v>
      </c>
      <c r="J31" t="s">
        <v>210</v>
      </c>
      <c r="K31" s="48">
        <f t="shared" si="1"/>
        <v>0</v>
      </c>
      <c r="L31" s="222">
        <v>0</v>
      </c>
      <c r="M31" s="48">
        <v>0</v>
      </c>
      <c r="N31" s="48">
        <v>0</v>
      </c>
      <c r="O31" s="385">
        <v>0</v>
      </c>
    </row>
    <row r="32" spans="3:15" x14ac:dyDescent="0.2">
      <c r="C32" s="53" t="s">
        <v>90</v>
      </c>
      <c r="D32" s="53">
        <f t="shared" si="0"/>
        <v>1470782.38</v>
      </c>
      <c r="E32" s="228">
        <v>1298610.18</v>
      </c>
      <c r="F32" s="53">
        <v>172172.2</v>
      </c>
      <c r="G32" s="53">
        <v>0</v>
      </c>
      <c r="H32" s="53">
        <v>0</v>
      </c>
      <c r="I32" s="57">
        <v>0</v>
      </c>
      <c r="J32" s="52" t="s">
        <v>177</v>
      </c>
      <c r="K32" s="53">
        <f t="shared" si="1"/>
        <v>155431.81</v>
      </c>
      <c r="L32" s="228">
        <v>79743.64</v>
      </c>
      <c r="M32" s="53">
        <v>75688.17</v>
      </c>
      <c r="N32" s="53">
        <v>0</v>
      </c>
      <c r="O32" s="384">
        <v>0</v>
      </c>
    </row>
    <row r="33" spans="3:15" x14ac:dyDescent="0.2">
      <c r="C33" t="s">
        <v>234</v>
      </c>
      <c r="D33" s="48">
        <f t="shared" si="0"/>
        <v>0</v>
      </c>
      <c r="E33" s="222">
        <v>0</v>
      </c>
      <c r="F33" s="48">
        <v>0</v>
      </c>
      <c r="G33" s="48">
        <v>0</v>
      </c>
      <c r="H33" s="48">
        <v>0</v>
      </c>
      <c r="I33" s="49">
        <v>0</v>
      </c>
      <c r="J33" t="s">
        <v>118</v>
      </c>
      <c r="K33" s="48">
        <f t="shared" si="1"/>
        <v>0</v>
      </c>
      <c r="L33" s="222">
        <v>0</v>
      </c>
      <c r="M33" s="48">
        <v>0</v>
      </c>
      <c r="N33" s="48">
        <v>0</v>
      </c>
      <c r="O33" s="385">
        <v>0</v>
      </c>
    </row>
    <row r="34" spans="3:15" x14ac:dyDescent="0.2">
      <c r="C34" s="52" t="s">
        <v>265</v>
      </c>
      <c r="D34" s="53">
        <f t="shared" si="0"/>
        <v>730773.2</v>
      </c>
      <c r="E34" s="228">
        <v>377745.53</v>
      </c>
      <c r="F34" s="53">
        <v>353027.67</v>
      </c>
      <c r="G34" s="53">
        <v>0</v>
      </c>
      <c r="H34" s="53">
        <v>0</v>
      </c>
      <c r="I34" s="57">
        <v>0</v>
      </c>
      <c r="J34" s="53" t="s">
        <v>459</v>
      </c>
      <c r="K34" s="53">
        <f t="shared" si="1"/>
        <v>0</v>
      </c>
      <c r="L34" s="228">
        <v>0</v>
      </c>
      <c r="M34" s="53">
        <v>0</v>
      </c>
      <c r="N34" s="53">
        <v>0</v>
      </c>
      <c r="O34" s="384">
        <v>0</v>
      </c>
    </row>
    <row r="35" spans="3:15" x14ac:dyDescent="0.2">
      <c r="C35" t="s">
        <v>253</v>
      </c>
      <c r="D35" s="48">
        <f t="shared" si="0"/>
        <v>0</v>
      </c>
      <c r="E35" s="222">
        <v>0</v>
      </c>
      <c r="F35" s="48">
        <v>0</v>
      </c>
      <c r="G35" s="48">
        <v>0</v>
      </c>
      <c r="H35" s="48">
        <v>0</v>
      </c>
      <c r="I35" s="49">
        <v>0</v>
      </c>
      <c r="J35" t="s">
        <v>95</v>
      </c>
      <c r="K35" s="48">
        <f t="shared" si="1"/>
        <v>10511234.600000001</v>
      </c>
      <c r="L35" s="222">
        <v>8782738.7100000009</v>
      </c>
      <c r="M35" s="48">
        <v>1728495.89</v>
      </c>
      <c r="N35" s="48">
        <v>0</v>
      </c>
      <c r="O35" s="385">
        <v>0</v>
      </c>
    </row>
    <row r="36" spans="3:15" x14ac:dyDescent="0.2">
      <c r="C36" s="52" t="s">
        <v>148</v>
      </c>
      <c r="D36" s="53">
        <f t="shared" si="0"/>
        <v>0</v>
      </c>
      <c r="E36" s="228">
        <v>0</v>
      </c>
      <c r="F36" s="53">
        <v>0</v>
      </c>
      <c r="G36" s="53">
        <v>0</v>
      </c>
      <c r="H36" s="53">
        <v>0</v>
      </c>
      <c r="I36" s="57">
        <v>0</v>
      </c>
      <c r="J36" s="52" t="s">
        <v>138</v>
      </c>
      <c r="K36" s="53">
        <f t="shared" si="1"/>
        <v>0</v>
      </c>
      <c r="L36" s="228">
        <v>0</v>
      </c>
      <c r="M36" s="53">
        <v>0</v>
      </c>
      <c r="N36" s="53">
        <v>0</v>
      </c>
      <c r="O36" s="384">
        <v>0</v>
      </c>
    </row>
    <row r="37" spans="3:15" x14ac:dyDescent="0.2">
      <c r="C37" t="s">
        <v>199</v>
      </c>
      <c r="D37" s="48">
        <f t="shared" si="0"/>
        <v>0</v>
      </c>
      <c r="E37" s="222">
        <v>0</v>
      </c>
      <c r="F37" s="48">
        <v>0</v>
      </c>
      <c r="G37" s="48">
        <v>0</v>
      </c>
      <c r="H37" s="48">
        <v>0</v>
      </c>
      <c r="I37" s="49">
        <v>0</v>
      </c>
      <c r="J37" t="s">
        <v>140</v>
      </c>
      <c r="K37" s="48">
        <f t="shared" si="1"/>
        <v>0</v>
      </c>
      <c r="L37" s="222">
        <v>0</v>
      </c>
      <c r="M37" s="48">
        <v>0</v>
      </c>
      <c r="N37" s="48">
        <v>0</v>
      </c>
      <c r="O37" s="385">
        <v>0</v>
      </c>
    </row>
    <row r="38" spans="3:15" x14ac:dyDescent="0.2">
      <c r="C38" s="52" t="s">
        <v>204</v>
      </c>
      <c r="D38" s="53">
        <f t="shared" si="0"/>
        <v>0</v>
      </c>
      <c r="E38" s="228">
        <v>0</v>
      </c>
      <c r="F38" s="53">
        <v>0</v>
      </c>
      <c r="G38" s="53">
        <v>0</v>
      </c>
      <c r="H38" s="53">
        <v>0</v>
      </c>
      <c r="I38" s="57">
        <v>0</v>
      </c>
      <c r="J38" s="53" t="s">
        <v>226</v>
      </c>
      <c r="K38" s="53">
        <f t="shared" si="1"/>
        <v>1041912.47</v>
      </c>
      <c r="L38" s="228">
        <v>691837.41999999993</v>
      </c>
      <c r="M38" s="53">
        <v>350075.05</v>
      </c>
      <c r="N38" s="53">
        <v>0</v>
      </c>
      <c r="O38" s="384">
        <v>0</v>
      </c>
    </row>
    <row r="39" spans="3:15" x14ac:dyDescent="0.2">
      <c r="C39" s="321" t="s">
        <v>100</v>
      </c>
      <c r="D39" s="48">
        <f t="shared" si="0"/>
        <v>195647.04</v>
      </c>
      <c r="E39" s="222">
        <v>149652.97</v>
      </c>
      <c r="F39" s="48">
        <v>45994.07</v>
      </c>
      <c r="G39" s="48">
        <v>0</v>
      </c>
      <c r="H39" s="48">
        <v>0</v>
      </c>
      <c r="I39" s="49">
        <v>0</v>
      </c>
      <c r="J39" t="s">
        <v>230</v>
      </c>
      <c r="K39" s="48">
        <f t="shared" si="1"/>
        <v>248461.86000000002</v>
      </c>
      <c r="L39" s="222">
        <v>146336.45000000001</v>
      </c>
      <c r="M39" s="48">
        <v>102125.41</v>
      </c>
      <c r="N39" s="48">
        <v>0</v>
      </c>
      <c r="O39" s="385">
        <v>0</v>
      </c>
    </row>
    <row r="40" spans="3:15" x14ac:dyDescent="0.2">
      <c r="C40" s="52" t="s">
        <v>136</v>
      </c>
      <c r="D40" s="53">
        <f t="shared" si="0"/>
        <v>0</v>
      </c>
      <c r="E40" s="228">
        <v>0</v>
      </c>
      <c r="F40" s="53">
        <v>0</v>
      </c>
      <c r="G40" s="53">
        <v>0</v>
      </c>
      <c r="H40" s="53">
        <v>0</v>
      </c>
      <c r="I40" s="57">
        <v>0</v>
      </c>
      <c r="J40" s="52" t="s">
        <v>116</v>
      </c>
      <c r="K40" s="53">
        <f t="shared" si="1"/>
        <v>0</v>
      </c>
      <c r="L40" s="228">
        <v>0</v>
      </c>
      <c r="M40" s="53">
        <v>0</v>
      </c>
      <c r="N40" s="53">
        <v>0</v>
      </c>
      <c r="O40" s="384">
        <v>0</v>
      </c>
    </row>
    <row r="41" spans="3:15" x14ac:dyDescent="0.2">
      <c r="C41" t="s">
        <v>182</v>
      </c>
      <c r="D41" s="48">
        <f t="shared" si="0"/>
        <v>0</v>
      </c>
      <c r="E41" s="222">
        <v>0</v>
      </c>
      <c r="F41" s="48">
        <v>0</v>
      </c>
      <c r="G41" s="48">
        <v>0</v>
      </c>
      <c r="H41" s="48">
        <v>0</v>
      </c>
      <c r="I41" s="49">
        <v>0</v>
      </c>
      <c r="J41" t="s">
        <v>242</v>
      </c>
      <c r="K41" s="48">
        <f t="shared" si="1"/>
        <v>0</v>
      </c>
      <c r="L41" s="222">
        <v>0</v>
      </c>
      <c r="M41" s="48">
        <v>0</v>
      </c>
      <c r="N41" s="48">
        <v>0</v>
      </c>
      <c r="O41" s="385">
        <v>0</v>
      </c>
    </row>
    <row r="42" spans="3:15" x14ac:dyDescent="0.2">
      <c r="C42" s="52" t="s">
        <v>228</v>
      </c>
      <c r="D42" s="53">
        <f t="shared" si="0"/>
        <v>0</v>
      </c>
      <c r="E42" s="228">
        <v>0</v>
      </c>
      <c r="F42" s="53">
        <v>0</v>
      </c>
      <c r="G42" s="53">
        <v>0</v>
      </c>
      <c r="H42" s="53">
        <v>0</v>
      </c>
      <c r="I42" s="57">
        <v>0</v>
      </c>
      <c r="J42" s="53" t="s">
        <v>114</v>
      </c>
      <c r="K42" s="53">
        <f t="shared" si="1"/>
        <v>0</v>
      </c>
      <c r="L42" s="228">
        <v>0</v>
      </c>
      <c r="M42" s="53">
        <v>0</v>
      </c>
      <c r="N42" s="53">
        <v>0</v>
      </c>
      <c r="O42" s="384">
        <v>0</v>
      </c>
    </row>
    <row r="43" spans="3:15" x14ac:dyDescent="0.2">
      <c r="C43" t="s">
        <v>93</v>
      </c>
      <c r="D43" s="48">
        <f t="shared" si="0"/>
        <v>0</v>
      </c>
      <c r="E43" s="222">
        <v>0</v>
      </c>
      <c r="F43" s="48">
        <v>0</v>
      </c>
      <c r="G43" s="48">
        <v>0</v>
      </c>
      <c r="H43" s="48">
        <v>0</v>
      </c>
      <c r="I43" s="49">
        <v>0</v>
      </c>
      <c r="J43" t="s">
        <v>56</v>
      </c>
      <c r="K43" s="48">
        <f t="shared" si="1"/>
        <v>3134322.2199999997</v>
      </c>
      <c r="L43" s="222">
        <v>2411688.88</v>
      </c>
      <c r="M43" s="48">
        <v>722633.34</v>
      </c>
      <c r="N43" s="48">
        <v>0</v>
      </c>
      <c r="O43" s="385">
        <v>0</v>
      </c>
    </row>
    <row r="44" spans="3:15" x14ac:dyDescent="0.2">
      <c r="C44" s="52" t="s">
        <v>208</v>
      </c>
      <c r="D44" s="53">
        <f t="shared" si="0"/>
        <v>0</v>
      </c>
      <c r="E44" s="228">
        <v>0</v>
      </c>
      <c r="F44" s="53">
        <v>0</v>
      </c>
      <c r="G44" s="53">
        <v>0</v>
      </c>
      <c r="H44" s="53">
        <v>0</v>
      </c>
      <c r="I44" s="57">
        <v>0</v>
      </c>
      <c r="J44" s="53" t="s">
        <v>127</v>
      </c>
      <c r="K44" s="53">
        <f t="shared" si="1"/>
        <v>0</v>
      </c>
      <c r="L44" s="228">
        <v>0</v>
      </c>
      <c r="M44" s="53">
        <v>0</v>
      </c>
      <c r="N44" s="53">
        <v>0</v>
      </c>
      <c r="O44" s="384">
        <v>0</v>
      </c>
    </row>
    <row r="45" spans="3:15" x14ac:dyDescent="0.2">
      <c r="C45" t="s">
        <v>188</v>
      </c>
      <c r="D45" s="48">
        <f t="shared" si="0"/>
        <v>0</v>
      </c>
      <c r="E45" s="222">
        <v>0</v>
      </c>
      <c r="F45" s="48">
        <v>0</v>
      </c>
      <c r="G45" s="48">
        <v>0</v>
      </c>
      <c r="H45" s="48">
        <v>0</v>
      </c>
      <c r="I45" s="49">
        <v>0</v>
      </c>
      <c r="J45" t="s">
        <v>97</v>
      </c>
      <c r="K45" s="48">
        <f t="shared" si="1"/>
        <v>0</v>
      </c>
      <c r="L45" s="222">
        <v>0</v>
      </c>
      <c r="M45" s="48">
        <v>0</v>
      </c>
      <c r="N45" s="48">
        <v>0</v>
      </c>
      <c r="O45" s="385">
        <v>0</v>
      </c>
    </row>
    <row r="46" spans="3:15" x14ac:dyDescent="0.2">
      <c r="C46" s="52" t="s">
        <v>274</v>
      </c>
      <c r="D46" s="53">
        <f t="shared" si="0"/>
        <v>0</v>
      </c>
      <c r="E46" s="228">
        <v>0</v>
      </c>
      <c r="F46" s="53">
        <v>0</v>
      </c>
      <c r="G46" s="53">
        <v>0</v>
      </c>
      <c r="H46" s="53">
        <v>0</v>
      </c>
      <c r="I46" s="57">
        <v>0</v>
      </c>
      <c r="J46" s="52" t="s">
        <v>58</v>
      </c>
      <c r="K46" s="53">
        <f t="shared" si="1"/>
        <v>0</v>
      </c>
      <c r="L46" s="228">
        <v>0</v>
      </c>
      <c r="M46" s="53">
        <v>0</v>
      </c>
      <c r="N46" s="53">
        <v>0</v>
      </c>
      <c r="O46" s="384">
        <v>0</v>
      </c>
    </row>
    <row r="47" spans="3:15" x14ac:dyDescent="0.2">
      <c r="C47" t="s">
        <v>189</v>
      </c>
      <c r="D47" s="48">
        <f t="shared" si="0"/>
        <v>0</v>
      </c>
      <c r="E47" s="222">
        <v>0</v>
      </c>
      <c r="F47" s="48">
        <v>0</v>
      </c>
      <c r="G47" s="48">
        <v>0</v>
      </c>
      <c r="H47" s="48">
        <v>0</v>
      </c>
      <c r="I47" s="49">
        <v>0</v>
      </c>
      <c r="J47" t="s">
        <v>216</v>
      </c>
      <c r="K47" s="48">
        <f t="shared" si="1"/>
        <v>0</v>
      </c>
      <c r="L47" s="222">
        <v>0</v>
      </c>
      <c r="M47" s="48">
        <v>0</v>
      </c>
      <c r="N47" s="48">
        <v>0</v>
      </c>
      <c r="O47" s="385">
        <v>0</v>
      </c>
    </row>
    <row r="48" spans="3:15" x14ac:dyDescent="0.2">
      <c r="C48" s="52" t="s">
        <v>258</v>
      </c>
      <c r="D48" s="53">
        <f t="shared" si="0"/>
        <v>0</v>
      </c>
      <c r="E48" s="228">
        <v>0</v>
      </c>
      <c r="F48" s="53">
        <v>0</v>
      </c>
      <c r="G48" s="53">
        <v>0</v>
      </c>
      <c r="H48" s="53">
        <v>0</v>
      </c>
      <c r="I48" s="57">
        <v>0</v>
      </c>
      <c r="J48" s="52" t="s">
        <v>287</v>
      </c>
      <c r="K48" s="53">
        <f t="shared" si="1"/>
        <v>1595038.8299999998</v>
      </c>
      <c r="L48" s="228">
        <v>1157006.1299999999</v>
      </c>
      <c r="M48" s="53">
        <v>438032.7</v>
      </c>
      <c r="N48" s="53">
        <v>0</v>
      </c>
      <c r="O48" s="384">
        <v>0</v>
      </c>
    </row>
    <row r="49" spans="3:15" x14ac:dyDescent="0.2">
      <c r="C49" t="s">
        <v>272</v>
      </c>
      <c r="D49" s="48">
        <f t="shared" si="0"/>
        <v>0</v>
      </c>
      <c r="E49" s="222">
        <v>0</v>
      </c>
      <c r="F49" s="48">
        <v>0</v>
      </c>
      <c r="G49" s="48">
        <v>0</v>
      </c>
      <c r="H49" s="48">
        <v>0</v>
      </c>
      <c r="I49" s="49">
        <v>0</v>
      </c>
      <c r="J49" t="s">
        <v>59</v>
      </c>
      <c r="K49" s="48">
        <f t="shared" si="1"/>
        <v>0</v>
      </c>
      <c r="L49" s="222">
        <v>0</v>
      </c>
      <c r="M49" s="48">
        <v>0</v>
      </c>
      <c r="N49" s="48">
        <v>0</v>
      </c>
      <c r="O49" s="385">
        <v>0</v>
      </c>
    </row>
    <row r="50" spans="3:15" x14ac:dyDescent="0.2">
      <c r="C50" s="53" t="s">
        <v>276</v>
      </c>
      <c r="D50" s="53">
        <f t="shared" si="0"/>
        <v>590156.13</v>
      </c>
      <c r="E50" s="228">
        <v>339776.58</v>
      </c>
      <c r="F50" s="53">
        <v>250379.55</v>
      </c>
      <c r="G50" s="53">
        <v>0</v>
      </c>
      <c r="H50" s="53">
        <v>0</v>
      </c>
      <c r="I50" s="57">
        <v>0</v>
      </c>
      <c r="J50" s="52" t="s">
        <v>184</v>
      </c>
      <c r="K50" s="53">
        <f t="shared" si="1"/>
        <v>0</v>
      </c>
      <c r="L50" s="228">
        <v>0</v>
      </c>
      <c r="M50" s="53">
        <v>0</v>
      </c>
      <c r="N50" s="53">
        <v>0</v>
      </c>
      <c r="O50" s="384">
        <v>0</v>
      </c>
    </row>
    <row r="51" spans="3:15" x14ac:dyDescent="0.2">
      <c r="C51" t="s">
        <v>255</v>
      </c>
      <c r="D51" s="48">
        <f t="shared" si="0"/>
        <v>0</v>
      </c>
      <c r="E51" s="222">
        <v>0</v>
      </c>
      <c r="F51" s="48">
        <v>0</v>
      </c>
      <c r="G51" s="48">
        <v>0</v>
      </c>
      <c r="H51" s="48">
        <v>0</v>
      </c>
      <c r="I51" s="49">
        <v>0</v>
      </c>
      <c r="J51" t="s">
        <v>202</v>
      </c>
      <c r="K51" s="48">
        <f t="shared" si="1"/>
        <v>0</v>
      </c>
      <c r="L51" s="222">
        <v>0</v>
      </c>
      <c r="M51" s="48">
        <v>0</v>
      </c>
      <c r="N51" s="48">
        <v>0</v>
      </c>
      <c r="O51" s="385">
        <v>0</v>
      </c>
    </row>
    <row r="52" spans="3:15" x14ac:dyDescent="0.2">
      <c r="C52" s="52" t="s">
        <v>179</v>
      </c>
      <c r="D52" s="53">
        <f t="shared" si="0"/>
        <v>81456.329999999987</v>
      </c>
      <c r="E52" s="228">
        <v>46677.63</v>
      </c>
      <c r="F52" s="53">
        <v>34778.699999999997</v>
      </c>
      <c r="G52" s="53">
        <v>0</v>
      </c>
      <c r="H52" s="53">
        <v>0</v>
      </c>
      <c r="I52" s="57">
        <v>0</v>
      </c>
      <c r="J52" s="52" t="s">
        <v>248</v>
      </c>
      <c r="K52" s="53">
        <f t="shared" si="1"/>
        <v>0</v>
      </c>
      <c r="L52" s="228">
        <v>0</v>
      </c>
      <c r="M52" s="53">
        <v>0</v>
      </c>
      <c r="N52" s="53">
        <v>0</v>
      </c>
      <c r="O52" s="384">
        <v>0</v>
      </c>
    </row>
    <row r="53" spans="3:15" x14ac:dyDescent="0.2">
      <c r="C53" t="s">
        <v>261</v>
      </c>
      <c r="D53" s="48">
        <f t="shared" si="0"/>
        <v>0</v>
      </c>
      <c r="E53" s="222">
        <v>0</v>
      </c>
      <c r="F53" s="48">
        <v>0</v>
      </c>
      <c r="G53" s="48">
        <v>0</v>
      </c>
      <c r="H53" s="48">
        <v>0</v>
      </c>
      <c r="I53" s="49">
        <v>0</v>
      </c>
      <c r="J53" t="s">
        <v>86</v>
      </c>
      <c r="K53" s="48">
        <f t="shared" si="1"/>
        <v>0</v>
      </c>
      <c r="L53" s="222">
        <v>0</v>
      </c>
      <c r="M53" s="48">
        <v>0</v>
      </c>
      <c r="N53" s="48">
        <v>0</v>
      </c>
      <c r="O53" s="385">
        <v>0</v>
      </c>
    </row>
    <row r="54" spans="3:15" x14ac:dyDescent="0.2">
      <c r="C54" s="52" t="s">
        <v>144</v>
      </c>
      <c r="D54" s="53">
        <f t="shared" si="0"/>
        <v>0</v>
      </c>
      <c r="E54" s="228">
        <v>0</v>
      </c>
      <c r="F54" s="53">
        <v>0</v>
      </c>
      <c r="G54" s="53">
        <v>0</v>
      </c>
      <c r="H54" s="53">
        <v>0</v>
      </c>
      <c r="I54" s="57">
        <v>0</v>
      </c>
      <c r="J54" s="52" t="s">
        <v>553</v>
      </c>
      <c r="K54" s="53">
        <f t="shared" si="1"/>
        <v>432263.75</v>
      </c>
      <c r="L54" s="228">
        <v>284122.57</v>
      </c>
      <c r="M54" s="53">
        <v>148141.18</v>
      </c>
      <c r="N54" s="53">
        <v>0</v>
      </c>
      <c r="O54" s="384">
        <v>0</v>
      </c>
    </row>
    <row r="55" spans="3:15" x14ac:dyDescent="0.2">
      <c r="C55" t="s">
        <v>290</v>
      </c>
      <c r="D55" s="48">
        <f t="shared" si="0"/>
        <v>0</v>
      </c>
      <c r="E55" s="222">
        <v>0</v>
      </c>
      <c r="F55" s="48">
        <v>0</v>
      </c>
      <c r="G55" s="48">
        <v>0</v>
      </c>
      <c r="H55" s="48">
        <v>0</v>
      </c>
      <c r="I55" s="49">
        <v>0</v>
      </c>
      <c r="J55" t="s">
        <v>99</v>
      </c>
      <c r="K55" s="48">
        <f t="shared" si="1"/>
        <v>0</v>
      </c>
      <c r="L55" s="222">
        <v>0</v>
      </c>
      <c r="M55" s="48">
        <v>0</v>
      </c>
      <c r="N55" s="48">
        <v>0</v>
      </c>
      <c r="O55" s="385">
        <v>0</v>
      </c>
    </row>
    <row r="56" spans="3:15" x14ac:dyDescent="0.2">
      <c r="C56" s="52" t="s">
        <v>191</v>
      </c>
      <c r="D56" s="53">
        <f t="shared" si="0"/>
        <v>0</v>
      </c>
      <c r="E56" s="228">
        <v>0</v>
      </c>
      <c r="F56" s="53">
        <v>0</v>
      </c>
      <c r="G56" s="53">
        <v>0</v>
      </c>
      <c r="H56" s="53">
        <v>0</v>
      </c>
      <c r="I56" s="57">
        <v>0</v>
      </c>
      <c r="J56" s="52" t="s">
        <v>308</v>
      </c>
      <c r="K56" s="53">
        <f t="shared" si="1"/>
        <v>0</v>
      </c>
      <c r="L56" s="228">
        <v>0</v>
      </c>
      <c r="M56" s="53">
        <v>0</v>
      </c>
      <c r="N56" s="53">
        <v>0</v>
      </c>
      <c r="O56" s="384">
        <v>0</v>
      </c>
    </row>
    <row r="57" spans="3:15" x14ac:dyDescent="0.2">
      <c r="C57" t="s">
        <v>78</v>
      </c>
      <c r="D57" s="48">
        <f t="shared" si="0"/>
        <v>0</v>
      </c>
      <c r="E57" s="222">
        <v>0</v>
      </c>
      <c r="F57" s="48">
        <v>0</v>
      </c>
      <c r="G57" s="48">
        <v>0</v>
      </c>
      <c r="H57" s="48">
        <v>0</v>
      </c>
      <c r="I57" s="49">
        <v>0</v>
      </c>
      <c r="J57" t="s">
        <v>133</v>
      </c>
      <c r="K57" s="48">
        <f t="shared" si="1"/>
        <v>0</v>
      </c>
      <c r="L57" s="222">
        <v>0</v>
      </c>
      <c r="M57" s="48">
        <v>0</v>
      </c>
      <c r="N57" s="48">
        <v>0</v>
      </c>
      <c r="O57" s="385">
        <v>0</v>
      </c>
    </row>
    <row r="58" spans="3:15" x14ac:dyDescent="0.2">
      <c r="C58" s="52" t="s">
        <v>105</v>
      </c>
      <c r="D58" s="53">
        <f t="shared" si="0"/>
        <v>0</v>
      </c>
      <c r="E58" s="228">
        <v>0</v>
      </c>
      <c r="F58" s="53">
        <v>0</v>
      </c>
      <c r="G58" s="53">
        <v>0</v>
      </c>
      <c r="H58" s="53">
        <v>0</v>
      </c>
      <c r="I58" s="57">
        <v>0</v>
      </c>
      <c r="J58" s="52" t="s">
        <v>167</v>
      </c>
      <c r="K58" s="53">
        <f t="shared" si="1"/>
        <v>0</v>
      </c>
      <c r="L58" s="228">
        <v>0</v>
      </c>
      <c r="M58" s="53">
        <v>0</v>
      </c>
      <c r="N58" s="53">
        <v>0</v>
      </c>
      <c r="O58" s="384">
        <v>0</v>
      </c>
    </row>
    <row r="59" spans="3:15" x14ac:dyDescent="0.2">
      <c r="C59" t="s">
        <v>103</v>
      </c>
      <c r="D59" s="48">
        <f t="shared" si="0"/>
        <v>0</v>
      </c>
      <c r="E59" s="222">
        <v>0</v>
      </c>
      <c r="F59" s="48">
        <v>0</v>
      </c>
      <c r="G59" s="48">
        <v>0</v>
      </c>
      <c r="H59" s="48">
        <v>0</v>
      </c>
      <c r="I59" s="49">
        <v>0</v>
      </c>
      <c r="J59" t="s">
        <v>289</v>
      </c>
      <c r="K59" s="48">
        <f t="shared" si="1"/>
        <v>0</v>
      </c>
      <c r="L59" s="222">
        <v>0</v>
      </c>
      <c r="M59" s="48">
        <v>0</v>
      </c>
      <c r="N59" s="48">
        <v>0</v>
      </c>
      <c r="O59" s="385">
        <v>0</v>
      </c>
    </row>
    <row r="60" spans="3:15" x14ac:dyDescent="0.2">
      <c r="C60" s="52" t="s">
        <v>197</v>
      </c>
      <c r="D60" s="53">
        <f t="shared" si="0"/>
        <v>0</v>
      </c>
      <c r="E60" s="228">
        <v>0</v>
      </c>
      <c r="F60" s="53">
        <v>0</v>
      </c>
      <c r="G60" s="53">
        <v>0</v>
      </c>
      <c r="H60" s="53">
        <v>0</v>
      </c>
      <c r="I60" s="57">
        <v>0</v>
      </c>
      <c r="J60" s="52" t="s">
        <v>214</v>
      </c>
      <c r="K60" s="53">
        <f t="shared" si="1"/>
        <v>0</v>
      </c>
      <c r="L60" s="228">
        <v>0</v>
      </c>
      <c r="M60" s="53">
        <v>0</v>
      </c>
      <c r="N60" s="53">
        <v>0</v>
      </c>
      <c r="O60" s="384">
        <v>0</v>
      </c>
    </row>
    <row r="61" spans="3:15" x14ac:dyDescent="0.2">
      <c r="C61" t="s">
        <v>238</v>
      </c>
      <c r="D61" s="48">
        <f t="shared" si="0"/>
        <v>0</v>
      </c>
      <c r="E61" s="222">
        <v>0</v>
      </c>
      <c r="F61" s="48">
        <v>0</v>
      </c>
      <c r="G61" s="48">
        <v>0</v>
      </c>
      <c r="H61" s="48">
        <v>0</v>
      </c>
      <c r="I61" s="49">
        <v>0</v>
      </c>
      <c r="J61" t="s">
        <v>130</v>
      </c>
      <c r="K61" s="48">
        <f t="shared" si="1"/>
        <v>0</v>
      </c>
      <c r="L61" s="222">
        <v>0</v>
      </c>
      <c r="M61" s="48">
        <v>0</v>
      </c>
      <c r="N61" s="48">
        <v>0</v>
      </c>
      <c r="O61" s="385">
        <v>0</v>
      </c>
    </row>
    <row r="62" spans="3:15" x14ac:dyDescent="0.2">
      <c r="C62" s="278" t="s">
        <v>526</v>
      </c>
      <c r="D62" s="378"/>
      <c r="E62" s="456">
        <v>0</v>
      </c>
      <c r="F62" s="378">
        <v>0</v>
      </c>
      <c r="G62" s="378">
        <v>0</v>
      </c>
      <c r="H62" s="378">
        <v>0</v>
      </c>
      <c r="I62" s="457"/>
      <c r="J62" s="411"/>
      <c r="K62" s="426"/>
      <c r="L62" s="426"/>
      <c r="M62" s="426"/>
      <c r="N62" s="426"/>
      <c r="O62" s="427"/>
    </row>
    <row r="63" spans="3:15" ht="13.5" thickBot="1" x14ac:dyDescent="0.25">
      <c r="C63" s="47" t="s">
        <v>153</v>
      </c>
      <c r="D63" s="223">
        <f t="shared" si="0"/>
        <v>0</v>
      </c>
      <c r="E63" s="224">
        <v>0</v>
      </c>
      <c r="F63" s="223">
        <v>0</v>
      </c>
      <c r="G63" s="375">
        <v>0</v>
      </c>
      <c r="H63" s="375">
        <v>0</v>
      </c>
      <c r="I63" s="62">
        <v>0</v>
      </c>
      <c r="J63" s="497" t="s">
        <v>0</v>
      </c>
      <c r="K63" s="498">
        <f>+ROUND(SUM(K10:K61)+SUM(D10:D63),0)</f>
        <v>123823006</v>
      </c>
      <c r="L63" s="498">
        <f t="shared" ref="L63:O63" si="2">+ROUND(SUM(L10:L61)+SUM(E10:E63),0)</f>
        <v>95356413</v>
      </c>
      <c r="M63" s="498">
        <f t="shared" si="2"/>
        <v>28466594</v>
      </c>
      <c r="N63" s="499">
        <f t="shared" si="2"/>
        <v>0</v>
      </c>
      <c r="O63" s="499">
        <f t="shared" si="2"/>
        <v>0</v>
      </c>
    </row>
    <row r="64" spans="3:15" x14ac:dyDescent="0.2">
      <c r="D64" s="48"/>
      <c r="E64" s="48"/>
      <c r="F64" s="48"/>
      <c r="G64" s="48"/>
      <c r="H64" s="48"/>
      <c r="J64" s="74"/>
      <c r="K64" s="48"/>
      <c r="L64" s="48"/>
      <c r="M64" s="48"/>
      <c r="N64" s="48"/>
      <c r="O64" s="48"/>
    </row>
    <row r="65" spans="3:21" x14ac:dyDescent="0.2">
      <c r="C65" s="6" t="s">
        <v>334</v>
      </c>
    </row>
    <row r="66" spans="3:21" x14ac:dyDescent="0.2">
      <c r="C66" s="6"/>
    </row>
    <row r="67" spans="3:21" x14ac:dyDescent="0.2">
      <c r="C67" s="6"/>
      <c r="O67" t="s">
        <v>569</v>
      </c>
      <c r="S67" s="6"/>
    </row>
    <row r="68" spans="3:21" x14ac:dyDescent="0.2">
      <c r="C68" s="6"/>
      <c r="Q68" s="606" t="s">
        <v>608</v>
      </c>
      <c r="R68" s="569"/>
      <c r="S68" s="569"/>
      <c r="T68" s="569"/>
      <c r="U68" s="570"/>
    </row>
    <row r="69" spans="3:21" x14ac:dyDescent="0.2">
      <c r="C69" s="6"/>
      <c r="Q69" s="623"/>
      <c r="R69" s="622" t="s">
        <v>457</v>
      </c>
      <c r="S69" s="613">
        <f>K63</f>
        <v>123823006</v>
      </c>
      <c r="T69" s="597" t="s">
        <v>617</v>
      </c>
      <c r="U69" s="624">
        <f>ROUNDDOWN(S69/1000000,1)</f>
        <v>123.8</v>
      </c>
    </row>
    <row r="70" spans="3:21" x14ac:dyDescent="0.2">
      <c r="C70" s="6"/>
      <c r="Q70" s="623"/>
      <c r="R70" s="580" t="s">
        <v>520</v>
      </c>
      <c r="S70" s="613">
        <f>'table 1 &amp; 2'!B84</f>
        <v>3135015797.5499997</v>
      </c>
      <c r="T70" s="596"/>
      <c r="U70" s="609"/>
    </row>
    <row r="71" spans="3:21" x14ac:dyDescent="0.2">
      <c r="C71" s="6"/>
      <c r="Q71" s="623"/>
      <c r="R71" s="622"/>
      <c r="S71" s="613"/>
      <c r="T71" s="560"/>
      <c r="U71" s="609"/>
    </row>
    <row r="72" spans="3:21" x14ac:dyDescent="0.2">
      <c r="C72" s="6"/>
      <c r="Q72" s="571"/>
      <c r="R72" s="605" t="s">
        <v>541</v>
      </c>
      <c r="S72" s="572"/>
      <c r="T72" s="572"/>
      <c r="U72" s="625">
        <f>S69/S70</f>
        <v>3.9496772583017641E-2</v>
      </c>
    </row>
    <row r="73" spans="3:21" x14ac:dyDescent="0.2">
      <c r="C73" s="6"/>
      <c r="R73" s="7"/>
      <c r="U73" s="627"/>
    </row>
    <row r="74" spans="3:21" x14ac:dyDescent="0.2">
      <c r="C74" s="6"/>
    </row>
    <row r="75" spans="3:21" x14ac:dyDescent="0.2">
      <c r="C75" s="6"/>
      <c r="Q75" s="606" t="s">
        <v>608</v>
      </c>
      <c r="R75" s="569"/>
      <c r="S75" s="569"/>
      <c r="T75" s="569"/>
      <c r="U75" s="570"/>
    </row>
    <row r="76" spans="3:21" x14ac:dyDescent="0.2">
      <c r="C76" s="6"/>
      <c r="Q76" s="571"/>
      <c r="R76" s="626">
        <f>L63/K63</f>
        <v>0.7701025526710279</v>
      </c>
      <c r="S76" s="587" t="s">
        <v>535</v>
      </c>
      <c r="T76" s="572"/>
      <c r="U76" s="573"/>
    </row>
    <row r="77" spans="3:21" x14ac:dyDescent="0.2">
      <c r="C77" s="6"/>
      <c r="S77" s="321"/>
    </row>
    <row r="78" spans="3:21" x14ac:dyDescent="0.2">
      <c r="C78" s="6"/>
    </row>
    <row r="79" spans="3:21" x14ac:dyDescent="0.2">
      <c r="C79" s="6"/>
      <c r="Q79" s="606" t="s">
        <v>616</v>
      </c>
      <c r="R79" s="569"/>
      <c r="S79" s="569"/>
      <c r="T79" s="569"/>
      <c r="U79" s="570"/>
    </row>
    <row r="80" spans="3:21" x14ac:dyDescent="0.2">
      <c r="C80" s="6"/>
      <c r="Q80" s="620" t="s">
        <v>612</v>
      </c>
      <c r="R80" s="560"/>
      <c r="S80" s="580"/>
      <c r="T80" s="560"/>
      <c r="U80" s="609"/>
    </row>
    <row r="81" spans="3:21" x14ac:dyDescent="0.2">
      <c r="C81" s="6"/>
      <c r="Q81" s="589" t="s">
        <v>613</v>
      </c>
      <c r="R81" s="621"/>
      <c r="S81" s="560">
        <f>COUNTIF(D10:D63,"&gt;0")</f>
        <v>10</v>
      </c>
      <c r="T81" s="560"/>
      <c r="U81" s="609"/>
    </row>
    <row r="82" spans="3:21" x14ac:dyDescent="0.2">
      <c r="C82" s="6"/>
      <c r="Q82" s="589" t="s">
        <v>614</v>
      </c>
      <c r="R82" s="560"/>
      <c r="S82" s="560">
        <f>COUNTIF(K10:K61,"&gt;0")</f>
        <v>10</v>
      </c>
      <c r="T82" s="560"/>
      <c r="U82" s="609"/>
    </row>
    <row r="83" spans="3:21" x14ac:dyDescent="0.2">
      <c r="C83" s="6"/>
      <c r="Q83" s="619" t="s">
        <v>615</v>
      </c>
      <c r="R83" s="605"/>
      <c r="S83" s="605">
        <f>SUM(S81:S82)</f>
        <v>20</v>
      </c>
      <c r="T83" s="572"/>
      <c r="U83" s="573"/>
    </row>
    <row r="84" spans="3:21" x14ac:dyDescent="0.2">
      <c r="C84" s="6"/>
    </row>
    <row r="85" spans="3:21" x14ac:dyDescent="0.2">
      <c r="C85" s="6"/>
    </row>
    <row r="86" spans="3:21" x14ac:dyDescent="0.2">
      <c r="C86" s="6"/>
    </row>
    <row r="87" spans="3:21" x14ac:dyDescent="0.2">
      <c r="C87" s="6"/>
    </row>
    <row r="88" spans="3:21" x14ac:dyDescent="0.2">
      <c r="C88" s="6"/>
    </row>
    <row r="89" spans="3:21" x14ac:dyDescent="0.2">
      <c r="C89" s="6"/>
    </row>
    <row r="90" spans="3:21" x14ac:dyDescent="0.2">
      <c r="C90" s="6"/>
    </row>
    <row r="91" spans="3:21" x14ac:dyDescent="0.2">
      <c r="C91" s="6"/>
    </row>
    <row r="92" spans="3:21" x14ac:dyDescent="0.2">
      <c r="C92" s="6"/>
    </row>
    <row r="93" spans="3:21" x14ac:dyDescent="0.2">
      <c r="C93" s="6"/>
    </row>
    <row r="94" spans="3:21" x14ac:dyDescent="0.2">
      <c r="C94" s="6"/>
    </row>
    <row r="95" spans="3:21" x14ac:dyDescent="0.2">
      <c r="C95" s="6"/>
    </row>
    <row r="97" spans="3:15" x14ac:dyDescent="0.2">
      <c r="C97" s="633">
        <f>+'Table 21 part B'!C64:K64+1</f>
        <v>26</v>
      </c>
      <c r="D97" s="633"/>
      <c r="E97" s="633"/>
      <c r="F97" s="633"/>
      <c r="G97" s="633"/>
      <c r="H97" s="633"/>
      <c r="I97" s="633"/>
      <c r="J97" s="633"/>
      <c r="K97" s="633"/>
      <c r="L97" s="633"/>
      <c r="M97" s="633"/>
      <c r="N97" s="633"/>
      <c r="O97" s="633"/>
    </row>
    <row r="98" spans="3:15" x14ac:dyDescent="0.2">
      <c r="K98" s="48"/>
      <c r="N98" s="48"/>
    </row>
    <row r="99" spans="3:15" x14ac:dyDescent="0.2"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</row>
  </sheetData>
  <mergeCells count="1">
    <mergeCell ref="C97:O97"/>
  </mergeCells>
  <phoneticPr fontId="38" type="noConversion"/>
  <pageMargins left="0.75" right="0.75" top="1" bottom="1" header="0.5" footer="0.5"/>
  <pageSetup scale="5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00B050"/>
    <pageSetUpPr fitToPage="1"/>
  </sheetPr>
  <dimension ref="B1:T125"/>
  <sheetViews>
    <sheetView showGridLines="0" zoomScaleNormal="100" workbookViewId="0">
      <selection activeCell="B76" sqref="B76"/>
    </sheetView>
  </sheetViews>
  <sheetFormatPr defaultRowHeight="12.75" x14ac:dyDescent="0.2"/>
  <cols>
    <col min="2" max="2" width="42.42578125" customWidth="1"/>
    <col min="3" max="3" width="18" customWidth="1"/>
    <col min="4" max="5" width="18.42578125" customWidth="1"/>
    <col min="6" max="6" width="17.5703125" customWidth="1"/>
    <col min="7" max="7" width="7.7109375" customWidth="1"/>
    <col min="8" max="8" width="16.5703125" customWidth="1"/>
    <col min="9" max="9" width="12.42578125" customWidth="1"/>
    <col min="10" max="10" width="14.140625" customWidth="1"/>
    <col min="11" max="11" width="12.7109375" customWidth="1"/>
    <col min="12" max="12" width="7.5703125" customWidth="1"/>
    <col min="13" max="13" width="16.5703125" customWidth="1"/>
    <col min="14" max="14" width="27.85546875" customWidth="1"/>
    <col min="15" max="15" width="24.28515625" customWidth="1"/>
    <col min="16" max="16" width="21.5703125" customWidth="1"/>
  </cols>
  <sheetData>
    <row r="1" spans="2:13" ht="20.25" x14ac:dyDescent="0.3">
      <c r="B1" s="97" t="s">
        <v>438</v>
      </c>
      <c r="C1" s="6"/>
      <c r="D1" s="6"/>
      <c r="E1" s="6"/>
      <c r="F1" s="6"/>
      <c r="G1" s="6"/>
      <c r="H1" s="6"/>
      <c r="I1" s="6"/>
      <c r="J1" s="11"/>
    </row>
    <row r="2" spans="2:13" ht="20.25" x14ac:dyDescent="0.3">
      <c r="B2" s="98" t="s">
        <v>491</v>
      </c>
      <c r="C2" s="97" t="str">
        <f>'table 1 &amp; 2'!C2</f>
        <v>2025 Tax Year</v>
      </c>
      <c r="D2" s="6"/>
      <c r="E2" s="6"/>
      <c r="F2" s="6"/>
      <c r="G2" s="6"/>
      <c r="H2" s="6"/>
      <c r="I2" s="6"/>
      <c r="J2" s="6"/>
    </row>
    <row r="3" spans="2:13" ht="18" x14ac:dyDescent="0.25">
      <c r="B3" s="5"/>
      <c r="C3" s="6"/>
      <c r="D3" s="6"/>
      <c r="E3" s="6"/>
      <c r="F3" s="6"/>
      <c r="G3" s="6"/>
      <c r="H3" s="6"/>
      <c r="I3" s="6"/>
      <c r="J3" s="6"/>
    </row>
    <row r="4" spans="2:13" ht="20.25" x14ac:dyDescent="0.3">
      <c r="B4" s="98" t="s">
        <v>480</v>
      </c>
      <c r="G4" s="97" t="str">
        <f>$C$2</f>
        <v>2025 Tax Year</v>
      </c>
    </row>
    <row r="5" spans="2:13" ht="9.9499999999999993" customHeight="1" x14ac:dyDescent="0.3">
      <c r="B5" s="98"/>
    </row>
    <row r="6" spans="2:13" ht="15" x14ac:dyDescent="0.2">
      <c r="B6" s="2"/>
      <c r="C6" s="157"/>
      <c r="D6" s="2"/>
      <c r="E6" s="2"/>
      <c r="F6" s="2"/>
      <c r="G6" s="365" t="s">
        <v>3</v>
      </c>
      <c r="H6" s="2"/>
      <c r="I6" s="2"/>
      <c r="J6" s="2"/>
    </row>
    <row r="7" spans="2:13" ht="15" x14ac:dyDescent="0.2">
      <c r="B7" s="2"/>
      <c r="C7" s="12"/>
      <c r="D7" s="12"/>
      <c r="E7" s="12"/>
      <c r="F7" s="151" t="s">
        <v>4</v>
      </c>
      <c r="G7" s="13"/>
      <c r="H7" s="12"/>
      <c r="I7" s="12"/>
      <c r="J7" s="12" t="s">
        <v>4</v>
      </c>
    </row>
    <row r="8" spans="2:13" ht="15" x14ac:dyDescent="0.2">
      <c r="B8" s="2"/>
      <c r="C8" s="12"/>
      <c r="D8" s="12"/>
      <c r="E8" s="151" t="s">
        <v>374</v>
      </c>
      <c r="F8" s="151" t="s">
        <v>6</v>
      </c>
      <c r="G8" s="13"/>
      <c r="H8" s="12"/>
      <c r="I8" s="12" t="s">
        <v>5</v>
      </c>
      <c r="J8" s="12" t="s">
        <v>6</v>
      </c>
    </row>
    <row r="9" spans="2:13" ht="15.75" thickBot="1" x14ac:dyDescent="0.25">
      <c r="B9" s="14" t="s">
        <v>7</v>
      </c>
      <c r="C9" s="15" t="s">
        <v>63</v>
      </c>
      <c r="D9" s="15" t="s">
        <v>9</v>
      </c>
      <c r="E9" s="110" t="s">
        <v>9</v>
      </c>
      <c r="F9" s="110" t="s">
        <v>10</v>
      </c>
      <c r="G9" s="16" t="s">
        <v>8</v>
      </c>
      <c r="H9" s="15" t="s">
        <v>9</v>
      </c>
      <c r="I9" s="15" t="s">
        <v>9</v>
      </c>
      <c r="J9" s="15" t="s">
        <v>10</v>
      </c>
    </row>
    <row r="10" spans="2:13" ht="15.75" x14ac:dyDescent="0.25">
      <c r="B10" s="3" t="s">
        <v>11</v>
      </c>
      <c r="C10" s="152">
        <f>SUM(D10:F10)</f>
        <v>153353040.09</v>
      </c>
      <c r="D10" s="152">
        <v>69570436.139999986</v>
      </c>
      <c r="E10" s="152">
        <v>36629444.640000015</v>
      </c>
      <c r="F10" s="152">
        <v>47153159.31000001</v>
      </c>
      <c r="G10" s="153">
        <f>ROUND(C10/$C$32*100,1)</f>
        <v>4.9000000000000004</v>
      </c>
      <c r="H10" s="154">
        <f t="shared" ref="H10:H24" si="0">+D10/$C$32*100</f>
        <v>2.2191414854868983</v>
      </c>
      <c r="I10" s="154">
        <f t="shared" ref="I10:I24" si="1">+E10/$C$32*100</f>
        <v>1.1683974501380745</v>
      </c>
      <c r="J10" s="154">
        <f t="shared" ref="J10:J24" si="2">+F10/$C$32*100</f>
        <v>1.5040804370698859</v>
      </c>
      <c r="K10" s="48"/>
    </row>
    <row r="11" spans="2:13" ht="15.75" thickBot="1" x14ac:dyDescent="0.25">
      <c r="B11" s="17" t="s">
        <v>12</v>
      </c>
      <c r="C11" s="155">
        <f t="shared" ref="C11:C31" si="3">SUM(D11:F11)</f>
        <v>934810600.80999982</v>
      </c>
      <c r="D11" s="155">
        <v>342548981.5399999</v>
      </c>
      <c r="E11" s="155">
        <v>269978828.88</v>
      </c>
      <c r="F11" s="155">
        <v>322282790.38999999</v>
      </c>
      <c r="G11" s="156">
        <f t="shared" ref="G11:G32" si="4">ROUND(C11/$C$32*100,1)</f>
        <v>29.8</v>
      </c>
      <c r="H11" s="146">
        <f t="shared" si="0"/>
        <v>10.926547222112895</v>
      </c>
      <c r="I11" s="146">
        <f t="shared" si="1"/>
        <v>8.6117214813075957</v>
      </c>
      <c r="J11" s="146">
        <f t="shared" si="2"/>
        <v>10.280101001145272</v>
      </c>
      <c r="K11" s="48"/>
    </row>
    <row r="12" spans="2:13" ht="15" x14ac:dyDescent="0.2">
      <c r="B12" s="2" t="s">
        <v>13</v>
      </c>
      <c r="C12" s="157">
        <f t="shared" si="3"/>
        <v>61280606.580000006</v>
      </c>
      <c r="D12" s="157">
        <v>46296047.49000001</v>
      </c>
      <c r="E12" s="157">
        <v>13884954.809999997</v>
      </c>
      <c r="F12" s="157">
        <v>1099604.28</v>
      </c>
      <c r="G12" s="158">
        <f t="shared" si="4"/>
        <v>2</v>
      </c>
      <c r="H12" s="142">
        <f t="shared" si="0"/>
        <v>1.4767404848862373</v>
      </c>
      <c r="I12" s="142">
        <f t="shared" si="1"/>
        <v>0.44289903804794301</v>
      </c>
      <c r="J12" s="142">
        <f t="shared" si="2"/>
        <v>3.5074919905007676E-2</v>
      </c>
      <c r="K12" s="48"/>
      <c r="L12" s="435" t="s">
        <v>523</v>
      </c>
      <c r="M12" s="436"/>
    </row>
    <row r="13" spans="2:13" ht="15.75" thickBot="1" x14ac:dyDescent="0.25">
      <c r="B13" s="17" t="s">
        <v>14</v>
      </c>
      <c r="C13" s="155">
        <f t="shared" si="3"/>
        <v>9450953.3800000008</v>
      </c>
      <c r="D13" s="155">
        <v>6697682.0300000012</v>
      </c>
      <c r="E13" s="155">
        <v>2751992.9000000004</v>
      </c>
      <c r="F13" s="155">
        <v>1278.4499999999998</v>
      </c>
      <c r="G13" s="156">
        <f t="shared" si="4"/>
        <v>0.3</v>
      </c>
      <c r="H13" s="146">
        <f t="shared" si="0"/>
        <v>0.21364109345905716</v>
      </c>
      <c r="I13" s="146">
        <f t="shared" si="1"/>
        <v>8.778242527998327E-2</v>
      </c>
      <c r="J13" s="146">
        <f t="shared" si="2"/>
        <v>4.0779698813610524E-5</v>
      </c>
      <c r="K13" s="48"/>
      <c r="L13" s="438">
        <f>G11+G15</f>
        <v>37.5</v>
      </c>
      <c r="M13" s="437"/>
    </row>
    <row r="14" spans="2:13" ht="15.75" x14ac:dyDescent="0.25">
      <c r="B14" s="3" t="s">
        <v>15</v>
      </c>
      <c r="C14" s="152">
        <f>SUM(D14:F14)</f>
        <v>1005542160.7699997</v>
      </c>
      <c r="D14" s="152">
        <f>SUM(D11:D13)</f>
        <v>395542711.05999994</v>
      </c>
      <c r="E14" s="152">
        <f t="shared" ref="E14:F14" si="5">SUM(E11:E13)</f>
        <v>286615776.58999997</v>
      </c>
      <c r="F14" s="152">
        <f t="shared" si="5"/>
        <v>323383673.11999995</v>
      </c>
      <c r="G14" s="153">
        <f t="shared" si="4"/>
        <v>32.1</v>
      </c>
      <c r="H14" s="154">
        <f t="shared" si="0"/>
        <v>12.61692880045819</v>
      </c>
      <c r="I14" s="154">
        <f t="shared" si="1"/>
        <v>9.1424029446355224</v>
      </c>
      <c r="J14" s="154">
        <f t="shared" si="2"/>
        <v>10.315216700749092</v>
      </c>
      <c r="K14" s="48"/>
    </row>
    <row r="15" spans="2:13" ht="15" x14ac:dyDescent="0.2">
      <c r="B15" s="17" t="s">
        <v>16</v>
      </c>
      <c r="C15" s="155">
        <f t="shared" si="3"/>
        <v>240666099.09000012</v>
      </c>
      <c r="D15" s="155">
        <v>172783967.19000012</v>
      </c>
      <c r="E15" s="155">
        <v>66944573.68999999</v>
      </c>
      <c r="F15" s="155">
        <v>937558.21</v>
      </c>
      <c r="G15" s="156">
        <f t="shared" si="4"/>
        <v>7.7</v>
      </c>
      <c r="H15" s="146">
        <f t="shared" si="0"/>
        <v>5.5114225365317138</v>
      </c>
      <c r="I15" s="146">
        <f t="shared" si="1"/>
        <v>2.1353823397737539</v>
      </c>
      <c r="J15" s="146">
        <f t="shared" si="2"/>
        <v>2.9906012299290404E-2</v>
      </c>
      <c r="K15" s="48"/>
    </row>
    <row r="16" spans="2:13" ht="15" x14ac:dyDescent="0.2">
      <c r="B16" s="2" t="s">
        <v>17</v>
      </c>
      <c r="C16" s="157">
        <f t="shared" si="3"/>
        <v>123823006.47</v>
      </c>
      <c r="D16" s="157">
        <v>95356412.599999994</v>
      </c>
      <c r="E16" s="157">
        <v>28466593.869999997</v>
      </c>
      <c r="F16" s="157">
        <v>0</v>
      </c>
      <c r="G16" s="158">
        <f t="shared" si="4"/>
        <v>3.9</v>
      </c>
      <c r="H16" s="142">
        <f t="shared" si="0"/>
        <v>3.0416565260857884</v>
      </c>
      <c r="I16" s="142">
        <f t="shared" si="1"/>
        <v>0.90802074720792503</v>
      </c>
      <c r="J16" s="142">
        <f t="shared" si="2"/>
        <v>0</v>
      </c>
      <c r="K16" s="48"/>
    </row>
    <row r="17" spans="2:13" ht="15" x14ac:dyDescent="0.2">
      <c r="B17" s="17" t="s">
        <v>18</v>
      </c>
      <c r="C17" s="155">
        <f t="shared" si="3"/>
        <v>6555565.9299999997</v>
      </c>
      <c r="D17" s="155">
        <v>4872508.37</v>
      </c>
      <c r="E17" s="155">
        <v>1683057.56</v>
      </c>
      <c r="F17" s="155">
        <v>0</v>
      </c>
      <c r="G17" s="156">
        <f t="shared" si="4"/>
        <v>0.2</v>
      </c>
      <c r="H17" s="146">
        <f t="shared" si="0"/>
        <v>0.15542213132730759</v>
      </c>
      <c r="I17" s="146">
        <f t="shared" si="1"/>
        <v>5.3685776043466887E-2</v>
      </c>
      <c r="J17" s="146">
        <f t="shared" si="2"/>
        <v>0</v>
      </c>
      <c r="K17" s="48"/>
    </row>
    <row r="18" spans="2:13" ht="15.75" x14ac:dyDescent="0.25">
      <c r="B18" s="3" t="s">
        <v>19</v>
      </c>
      <c r="C18" s="152">
        <f t="shared" si="3"/>
        <v>371044671.49000007</v>
      </c>
      <c r="D18" s="152">
        <f>SUM(D15:D17)</f>
        <v>273012888.16000009</v>
      </c>
      <c r="E18" s="152">
        <f t="shared" ref="E18:F18" si="6">SUM(E15:E17)</f>
        <v>97094225.11999999</v>
      </c>
      <c r="F18" s="152">
        <f t="shared" si="6"/>
        <v>937558.21</v>
      </c>
      <c r="G18" s="153">
        <f t="shared" si="4"/>
        <v>11.8</v>
      </c>
      <c r="H18" s="154">
        <f t="shared" si="0"/>
        <v>8.7085011939448087</v>
      </c>
      <c r="I18" s="154">
        <f t="shared" si="1"/>
        <v>3.0970888630251459</v>
      </c>
      <c r="J18" s="154">
        <f t="shared" si="2"/>
        <v>2.9906012299290404E-2</v>
      </c>
      <c r="K18" s="48"/>
      <c r="L18" s="103"/>
    </row>
    <row r="19" spans="2:13" ht="15.75" thickBot="1" x14ac:dyDescent="0.25">
      <c r="B19" s="17" t="s">
        <v>20</v>
      </c>
      <c r="C19" s="155">
        <f t="shared" si="3"/>
        <v>43130506.76000002</v>
      </c>
      <c r="D19" s="155">
        <v>13364247.620000018</v>
      </c>
      <c r="E19" s="155">
        <v>12515461.870000001</v>
      </c>
      <c r="F19" s="155">
        <v>17250797.27</v>
      </c>
      <c r="G19" s="156">
        <f t="shared" si="4"/>
        <v>1.4</v>
      </c>
      <c r="H19" s="146">
        <f t="shared" si="0"/>
        <v>0.42628964199938368</v>
      </c>
      <c r="I19" s="146">
        <f t="shared" si="1"/>
        <v>0.39921527284745345</v>
      </c>
      <c r="J19" s="146">
        <f t="shared" si="2"/>
        <v>0.5502618928900268</v>
      </c>
      <c r="K19" s="48"/>
    </row>
    <row r="20" spans="2:13" ht="15" x14ac:dyDescent="0.2">
      <c r="B20" s="2" t="s">
        <v>21</v>
      </c>
      <c r="C20" s="157">
        <f t="shared" si="3"/>
        <v>483217011.63999993</v>
      </c>
      <c r="D20" s="157">
        <v>270246046.65999991</v>
      </c>
      <c r="E20" s="157">
        <v>131558580.99000001</v>
      </c>
      <c r="F20" s="157">
        <v>81412383.989999995</v>
      </c>
      <c r="G20" s="158">
        <f t="shared" si="4"/>
        <v>15.4</v>
      </c>
      <c r="H20" s="142">
        <f t="shared" si="0"/>
        <v>8.6202451314980912</v>
      </c>
      <c r="I20" s="142">
        <f t="shared" si="1"/>
        <v>4.1964248184271487</v>
      </c>
      <c r="J20" s="142">
        <f t="shared" si="2"/>
        <v>2.5968731657946793</v>
      </c>
      <c r="K20" s="48"/>
      <c r="L20" s="435" t="s">
        <v>524</v>
      </c>
      <c r="M20" s="436"/>
    </row>
    <row r="21" spans="2:13" ht="15.75" thickBot="1" x14ac:dyDescent="0.25">
      <c r="B21" s="17" t="s">
        <v>22</v>
      </c>
      <c r="C21" s="155">
        <f t="shared" si="3"/>
        <v>210701691.3499999</v>
      </c>
      <c r="D21" s="155">
        <v>92194226.699999958</v>
      </c>
      <c r="E21" s="155">
        <v>49522492.11999999</v>
      </c>
      <c r="F21" s="155">
        <v>68984972.529999986</v>
      </c>
      <c r="G21" s="156">
        <f t="shared" si="4"/>
        <v>6.7</v>
      </c>
      <c r="H21" s="146">
        <f t="shared" si="0"/>
        <v>2.9407898605183846</v>
      </c>
      <c r="I21" s="146">
        <f t="shared" si="1"/>
        <v>1.5796568603801482</v>
      </c>
      <c r="J21" s="146">
        <f t="shared" si="2"/>
        <v>2.2004665043127187</v>
      </c>
      <c r="K21" s="48"/>
      <c r="L21" s="438">
        <f>G12+G16+G20+G26+G29</f>
        <v>22.400000000000002</v>
      </c>
      <c r="M21" s="437"/>
    </row>
    <row r="22" spans="2:13" ht="15" x14ac:dyDescent="0.2">
      <c r="B22" s="2" t="s">
        <v>23</v>
      </c>
      <c r="C22" s="157">
        <f t="shared" si="3"/>
        <v>195421259.62</v>
      </c>
      <c r="D22" s="157">
        <v>102394545.58</v>
      </c>
      <c r="E22" s="157">
        <v>43812528.599999994</v>
      </c>
      <c r="F22" s="157">
        <v>49214185.440000005</v>
      </c>
      <c r="G22" s="158">
        <f t="shared" si="4"/>
        <v>6.2</v>
      </c>
      <c r="H22" s="142">
        <f t="shared" si="0"/>
        <v>3.2661572442480469</v>
      </c>
      <c r="I22" s="142">
        <f t="shared" si="1"/>
        <v>1.3975217807272067</v>
      </c>
      <c r="J22" s="142">
        <f t="shared" si="2"/>
        <v>1.5698225660764027</v>
      </c>
      <c r="K22" s="48"/>
    </row>
    <row r="23" spans="2:13" ht="15" x14ac:dyDescent="0.2">
      <c r="B23" s="17" t="s">
        <v>24</v>
      </c>
      <c r="C23" s="155">
        <f t="shared" si="3"/>
        <v>75502916.140000001</v>
      </c>
      <c r="D23" s="155">
        <v>25810297.480000004</v>
      </c>
      <c r="E23" s="155">
        <v>19182586.330000002</v>
      </c>
      <c r="F23" s="155">
        <v>30510032.330000002</v>
      </c>
      <c r="G23" s="156">
        <f t="shared" si="4"/>
        <v>2.4</v>
      </c>
      <c r="H23" s="146">
        <f t="shared" si="0"/>
        <v>0.82329082680127585</v>
      </c>
      <c r="I23" s="146">
        <f t="shared" si="1"/>
        <v>0.61188164809220746</v>
      </c>
      <c r="J23" s="146">
        <f t="shared" si="2"/>
        <v>0.97320186883407245</v>
      </c>
      <c r="K23" s="48"/>
    </row>
    <row r="24" spans="2:13" ht="15.75" x14ac:dyDescent="0.25">
      <c r="B24" s="3" t="s">
        <v>25</v>
      </c>
      <c r="C24" s="152">
        <f t="shared" si="3"/>
        <v>1007973385.5099999</v>
      </c>
      <c r="D24" s="152">
        <f>SUM(D19:D23)</f>
        <v>504009364.0399999</v>
      </c>
      <c r="E24" s="152">
        <f t="shared" ref="E24:F24" si="7">SUM(E19:E23)</f>
        <v>256591649.91000003</v>
      </c>
      <c r="F24" s="152">
        <f t="shared" si="7"/>
        <v>247372371.55999997</v>
      </c>
      <c r="G24" s="153">
        <f t="shared" si="4"/>
        <v>32.200000000000003</v>
      </c>
      <c r="H24" s="154">
        <f t="shared" si="0"/>
        <v>16.076772705065181</v>
      </c>
      <c r="I24" s="154">
        <f t="shared" si="1"/>
        <v>8.1847003804741671</v>
      </c>
      <c r="J24" s="154">
        <f t="shared" si="2"/>
        <v>7.8906259979079003</v>
      </c>
      <c r="K24" s="48"/>
      <c r="M24" s="304"/>
    </row>
    <row r="25" spans="2:13" ht="15" x14ac:dyDescent="0.2">
      <c r="B25" s="17" t="s">
        <v>428</v>
      </c>
      <c r="C25" s="282">
        <f t="shared" si="3"/>
        <v>250039019.35999995</v>
      </c>
      <c r="D25" s="282">
        <v>88064871.569999978</v>
      </c>
      <c r="E25" s="282">
        <v>30495723.199999988</v>
      </c>
      <c r="F25" s="282">
        <v>131478424.58999999</v>
      </c>
      <c r="G25" s="156">
        <f t="shared" si="4"/>
        <v>8</v>
      </c>
      <c r="H25" s="146">
        <f>+D25/C32*100</f>
        <v>2.8090726572677007</v>
      </c>
      <c r="I25" s="146">
        <f>+E25/C32*100</f>
        <v>0.97274543955511339</v>
      </c>
      <c r="J25" s="146">
        <f>+F25/C32*100</f>
        <v>4.1938680083446398</v>
      </c>
      <c r="K25" s="48"/>
    </row>
    <row r="26" spans="2:13" ht="15" x14ac:dyDescent="0.2">
      <c r="B26" s="2" t="s">
        <v>429</v>
      </c>
      <c r="C26" s="157">
        <f t="shared" si="3"/>
        <v>35352043.310000002</v>
      </c>
      <c r="D26" s="157">
        <v>27489243.380000003</v>
      </c>
      <c r="E26" s="157">
        <v>7515969.1899999967</v>
      </c>
      <c r="F26" s="157">
        <v>346830.74</v>
      </c>
      <c r="G26" s="158">
        <f t="shared" si="4"/>
        <v>1.1000000000000001</v>
      </c>
      <c r="H26" s="142">
        <f t="shared" ref="H26:J27" si="8">+D26/$C$32*100</f>
        <v>0.8768454500766063</v>
      </c>
      <c r="I26" s="142">
        <f t="shared" si="8"/>
        <v>0.23974262572691632</v>
      </c>
      <c r="J26" s="142">
        <f t="shared" si="8"/>
        <v>1.1063125751106153E-2</v>
      </c>
      <c r="K26" s="48"/>
      <c r="L26" s="104"/>
    </row>
    <row r="27" spans="2:13" ht="15.75" x14ac:dyDescent="0.25">
      <c r="B27" s="280" t="s">
        <v>430</v>
      </c>
      <c r="C27" s="284">
        <f>SUM(D27:F27)</f>
        <v>285391062.66999996</v>
      </c>
      <c r="D27" s="284">
        <f>SUM(D25:D26)</f>
        <v>115554114.94999999</v>
      </c>
      <c r="E27" s="284">
        <f t="shared" ref="E27:F27" si="9">SUM(E25:E26)</f>
        <v>38011692.389999986</v>
      </c>
      <c r="F27" s="284">
        <f t="shared" si="9"/>
        <v>131825255.32999998</v>
      </c>
      <c r="G27" s="428">
        <f t="shared" si="4"/>
        <v>9.1</v>
      </c>
      <c r="H27" s="285">
        <f t="shared" si="8"/>
        <v>3.6859181073443077</v>
      </c>
      <c r="I27" s="285">
        <f t="shared" si="8"/>
        <v>1.2124880652820298</v>
      </c>
      <c r="J27" s="285">
        <f t="shared" si="8"/>
        <v>4.2049311340957454</v>
      </c>
      <c r="K27" s="48"/>
    </row>
    <row r="28" spans="2:13" ht="15" x14ac:dyDescent="0.2">
      <c r="B28" s="2" t="s">
        <v>426</v>
      </c>
      <c r="C28" s="157">
        <f t="shared" si="3"/>
        <v>224948983.50999993</v>
      </c>
      <c r="D28" s="157">
        <v>132834652.12999995</v>
      </c>
      <c r="E28" s="157">
        <v>50512134.939999983</v>
      </c>
      <c r="F28" s="157">
        <v>41602196.439999998</v>
      </c>
      <c r="G28" s="158">
        <f t="shared" si="4"/>
        <v>7.2</v>
      </c>
      <c r="H28" s="142">
        <f>+D28/C32*100</f>
        <v>4.237128636921371</v>
      </c>
      <c r="I28" s="142">
        <f>+E28/C32*100</f>
        <v>1.6112242553761604</v>
      </c>
      <c r="J28" s="142">
        <f>+F28/C32*100</f>
        <v>1.3270171229284371</v>
      </c>
      <c r="K28" s="48"/>
    </row>
    <row r="29" spans="2:13" ht="15" x14ac:dyDescent="0.2">
      <c r="B29" s="281" t="s">
        <v>427</v>
      </c>
      <c r="C29" s="282">
        <f t="shared" si="3"/>
        <v>825463.03999999992</v>
      </c>
      <c r="D29" s="282">
        <v>591839.39999999991</v>
      </c>
      <c r="E29" s="282">
        <v>217329.22</v>
      </c>
      <c r="F29" s="282">
        <v>16294.419999999998</v>
      </c>
      <c r="G29" s="286">
        <f>ROUND(C29/$C$32*100,1)</f>
        <v>0</v>
      </c>
      <c r="H29" s="283">
        <f>+D29/C32*100</f>
        <v>1.8878354631020351E-2</v>
      </c>
      <c r="I29" s="283">
        <f>+E29/C32*100</f>
        <v>6.9323165825780466E-3</v>
      </c>
      <c r="J29" s="283">
        <f>+F29/C32*100</f>
        <v>5.197555946204166E-4</v>
      </c>
      <c r="K29" s="48"/>
    </row>
    <row r="30" spans="2:13" ht="15.75" x14ac:dyDescent="0.25">
      <c r="B30" s="3" t="s">
        <v>431</v>
      </c>
      <c r="C30" s="152">
        <f>SUM(D30:F30)</f>
        <v>225774446.54999995</v>
      </c>
      <c r="D30" s="152">
        <f>SUM(D28:D29)</f>
        <v>133426491.52999996</v>
      </c>
      <c r="E30" s="152">
        <f t="shared" ref="E30:F30" si="10">SUM(E28:E29)</f>
        <v>50729464.159999982</v>
      </c>
      <c r="F30" s="152">
        <f t="shared" si="10"/>
        <v>41618490.859999999</v>
      </c>
      <c r="G30" s="153">
        <f t="shared" si="4"/>
        <v>7.2</v>
      </c>
      <c r="H30" s="154">
        <f>+D30/C32*100</f>
        <v>4.2560069915523915</v>
      </c>
      <c r="I30" s="154">
        <f>+E30/C32*100</f>
        <v>1.6181565719587385</v>
      </c>
      <c r="J30" s="154">
        <f>+F30/C32*100</f>
        <v>1.3275368785230575</v>
      </c>
      <c r="K30" s="48"/>
    </row>
    <row r="31" spans="2:13" ht="15.75" x14ac:dyDescent="0.25">
      <c r="B31" s="280" t="s">
        <v>482</v>
      </c>
      <c r="C31" s="284">
        <f t="shared" si="3"/>
        <v>85937030.469999999</v>
      </c>
      <c r="D31" s="284">
        <v>61520390.330000006</v>
      </c>
      <c r="E31" s="284">
        <v>24416624.120000001</v>
      </c>
      <c r="F31" s="284">
        <v>16.02</v>
      </c>
      <c r="G31" s="428">
        <f t="shared" si="4"/>
        <v>2.7</v>
      </c>
      <c r="H31" s="285">
        <f t="shared" ref="H31:J31" si="11">+D31/$C$32*100</f>
        <v>1.9623630087630788</v>
      </c>
      <c r="I31" s="285">
        <f t="shared" si="11"/>
        <v>0.77883576022428591</v>
      </c>
      <c r="J31" s="285">
        <f t="shared" si="11"/>
        <v>5.1100220970240581E-7</v>
      </c>
      <c r="K31" s="48"/>
    </row>
    <row r="32" spans="2:13" ht="16.5" thickBot="1" x14ac:dyDescent="0.3">
      <c r="B32" s="159" t="s">
        <v>26</v>
      </c>
      <c r="C32" s="160">
        <f>C10+C14+C18+C24+C27+C30+C31</f>
        <v>3135015797.5499997</v>
      </c>
      <c r="D32" s="160">
        <f>D10+D14+D18+D24+D27+D30+D31</f>
        <v>1552636396.2099998</v>
      </c>
      <c r="E32" s="160">
        <f t="shared" ref="E32:F32" si="12">E10+E14+E18+E24+E27+E30+E31</f>
        <v>790088876.92999995</v>
      </c>
      <c r="F32" s="160">
        <f t="shared" si="12"/>
        <v>792290524.40999997</v>
      </c>
      <c r="G32" s="161">
        <f t="shared" si="4"/>
        <v>100</v>
      </c>
      <c r="H32" s="162">
        <f>H10+H14+H18+H24+H27+H30+H31</f>
        <v>49.525632292614851</v>
      </c>
      <c r="I32" s="162">
        <f>I10+I14+I18+I24+I27+I30+I31</f>
        <v>25.202070035737968</v>
      </c>
      <c r="J32" s="162">
        <f t="shared" ref="J32" si="13">J10+J14+J18+J24+J27+J30+J31</f>
        <v>25.272297671647181</v>
      </c>
      <c r="K32" s="48"/>
    </row>
    <row r="33" spans="2:20" ht="15" x14ac:dyDescent="0.2">
      <c r="B33" s="83" t="s">
        <v>432</v>
      </c>
      <c r="C33" s="18"/>
      <c r="D33" s="18"/>
      <c r="E33" s="18"/>
      <c r="F33" s="18"/>
      <c r="G33" s="2"/>
      <c r="H33" s="2"/>
      <c r="I33" s="2"/>
      <c r="J33" s="2"/>
    </row>
    <row r="34" spans="2:20" ht="15" x14ac:dyDescent="0.2">
      <c r="B34" s="83" t="s">
        <v>483</v>
      </c>
      <c r="C34" s="18"/>
      <c r="D34" s="18"/>
      <c r="E34" s="18"/>
      <c r="F34" s="18"/>
      <c r="G34" s="2"/>
      <c r="H34" s="2"/>
      <c r="I34" s="2"/>
      <c r="J34" s="2"/>
    </row>
    <row r="35" spans="2:20" ht="15.75" thickBot="1" x14ac:dyDescent="0.25">
      <c r="B35" s="102"/>
      <c r="C35" s="18"/>
      <c r="D35" s="18"/>
      <c r="E35" s="18"/>
      <c r="F35" s="18"/>
      <c r="G35" s="18"/>
      <c r="H35" s="18"/>
      <c r="I35" s="18"/>
      <c r="J35" s="18"/>
    </row>
    <row r="36" spans="2:20" ht="20.25" x14ac:dyDescent="0.3">
      <c r="B36" s="98" t="s">
        <v>436</v>
      </c>
      <c r="C36" s="18"/>
      <c r="D36" s="18"/>
      <c r="E36" s="18"/>
      <c r="F36" s="18"/>
      <c r="G36" s="2"/>
      <c r="H36" s="2"/>
      <c r="J36" s="318"/>
      <c r="L36" s="635" t="s">
        <v>570</v>
      </c>
      <c r="M36" s="636"/>
      <c r="N36" s="636"/>
      <c r="O36" s="636"/>
      <c r="P36" s="636"/>
      <c r="Q36" s="636"/>
      <c r="R36" s="636"/>
      <c r="S36" s="636"/>
      <c r="T36" s="637"/>
    </row>
    <row r="37" spans="2:20" ht="20.25" x14ac:dyDescent="0.3">
      <c r="B37" s="98" t="s">
        <v>481</v>
      </c>
      <c r="C37" s="97" t="str">
        <f>G4</f>
        <v>2025 Tax Year</v>
      </c>
      <c r="D37" s="18"/>
      <c r="E37" s="18"/>
      <c r="G37" s="2"/>
      <c r="H37" s="2"/>
      <c r="I37" s="2"/>
      <c r="J37" s="2"/>
      <c r="L37" s="638"/>
      <c r="M37" s="639"/>
      <c r="N37" s="639"/>
      <c r="O37" s="639"/>
      <c r="P37" s="639"/>
      <c r="Q37" s="639"/>
      <c r="R37" s="639"/>
      <c r="S37" s="639"/>
      <c r="T37" s="640"/>
    </row>
    <row r="38" spans="2:20" ht="21" thickBot="1" x14ac:dyDescent="0.35">
      <c r="B38" s="98"/>
      <c r="C38" s="18"/>
      <c r="D38" s="18"/>
      <c r="E38" s="18"/>
      <c r="F38" s="151" t="s">
        <v>4</v>
      </c>
      <c r="G38" s="2"/>
      <c r="H38" s="2"/>
      <c r="I38" s="2"/>
      <c r="J38" s="2"/>
      <c r="L38" s="641"/>
      <c r="M38" s="642"/>
      <c r="N38" s="642"/>
      <c r="O38" s="642"/>
      <c r="P38" s="642"/>
      <c r="Q38" s="642"/>
      <c r="R38" s="642"/>
      <c r="S38" s="642"/>
      <c r="T38" s="643"/>
    </row>
    <row r="39" spans="2:20" ht="15" x14ac:dyDescent="0.2">
      <c r="C39" s="18"/>
      <c r="D39" s="18"/>
      <c r="E39" s="151" t="s">
        <v>374</v>
      </c>
      <c r="F39" s="151" t="s">
        <v>6</v>
      </c>
      <c r="G39" s="2"/>
      <c r="H39" s="2"/>
      <c r="I39" s="2"/>
      <c r="J39" s="2"/>
    </row>
    <row r="40" spans="2:20" ht="15.75" thickBot="1" x14ac:dyDescent="0.25">
      <c r="B40" s="143"/>
      <c r="C40" s="144" t="s">
        <v>8</v>
      </c>
      <c r="D40" s="144" t="s">
        <v>9</v>
      </c>
      <c r="E40" s="110" t="s">
        <v>9</v>
      </c>
      <c r="F40" s="110" t="s">
        <v>10</v>
      </c>
      <c r="G40" s="2"/>
      <c r="H40" s="287"/>
      <c r="I40" s="2"/>
      <c r="J40" s="2"/>
    </row>
    <row r="41" spans="2:20" ht="15.75" x14ac:dyDescent="0.25">
      <c r="B41" s="141" t="s">
        <v>366</v>
      </c>
      <c r="C41" s="18"/>
      <c r="D41" s="18"/>
      <c r="E41" s="18"/>
      <c r="F41" s="18"/>
      <c r="G41" s="2"/>
      <c r="H41" s="2"/>
      <c r="I41" s="2"/>
      <c r="J41" s="2"/>
    </row>
    <row r="42" spans="2:20" ht="15" x14ac:dyDescent="0.2">
      <c r="B42" s="145" t="s">
        <v>371</v>
      </c>
      <c r="C42" s="146">
        <f>ROUND(C10/C10*100,1)</f>
        <v>100</v>
      </c>
      <c r="D42" s="146">
        <f>ROUND(D10/D10*100,1)</f>
        <v>100</v>
      </c>
      <c r="E42" s="146">
        <f>ROUND(E10/E10*100,1)</f>
        <v>100</v>
      </c>
      <c r="F42" s="146">
        <f>ROUND(F10/F10*100,1)</f>
        <v>100</v>
      </c>
      <c r="G42" s="142"/>
      <c r="H42" s="157"/>
      <c r="I42" s="2"/>
      <c r="J42" s="2"/>
    </row>
    <row r="43" spans="2:20" ht="9.9499999999999993" customHeight="1" x14ac:dyDescent="0.2">
      <c r="C43" s="142"/>
      <c r="D43" s="150"/>
      <c r="E43" s="142"/>
      <c r="F43" s="142"/>
      <c r="G43" s="142"/>
      <c r="H43" s="2"/>
      <c r="I43" s="2"/>
      <c r="J43" s="2"/>
    </row>
    <row r="44" spans="2:20" ht="15" customHeight="1" x14ac:dyDescent="0.25">
      <c r="B44" s="141" t="s">
        <v>375</v>
      </c>
      <c r="C44" s="142"/>
      <c r="D44" s="150"/>
      <c r="E44" s="142"/>
      <c r="F44" s="142"/>
      <c r="G44" s="142"/>
      <c r="H44" s="2"/>
      <c r="I44" s="2"/>
      <c r="J44" s="2"/>
    </row>
    <row r="45" spans="2:20" ht="15.75" customHeight="1" x14ac:dyDescent="0.2">
      <c r="B45" s="18" t="s">
        <v>372</v>
      </c>
      <c r="C45" s="142">
        <f>ROUNDUP(C11/$C$14*100,1)</f>
        <v>93</v>
      </c>
      <c r="D45" s="150">
        <f>ROUND(D11/$D$14*100,1)</f>
        <v>86.6</v>
      </c>
      <c r="E45" s="142">
        <f>ROUNDDOWN(E11/$E$14*100,1)</f>
        <v>94.1</v>
      </c>
      <c r="F45" s="142">
        <f>ROUND(F11/$F$14*100,1)</f>
        <v>99.7</v>
      </c>
      <c r="G45" s="142"/>
      <c r="H45" s="18"/>
      <c r="I45" s="2"/>
      <c r="J45" s="2"/>
    </row>
    <row r="46" spans="2:20" ht="15" x14ac:dyDescent="0.2">
      <c r="B46" s="145" t="s">
        <v>367</v>
      </c>
      <c r="C46" s="146">
        <f t="shared" ref="C46:C47" si="14">ROUND(C12/$C$14*100,1)</f>
        <v>6.1</v>
      </c>
      <c r="D46" s="148">
        <f t="shared" ref="D46" si="15">ROUND(D12/$D$14*100,1)</f>
        <v>11.7</v>
      </c>
      <c r="E46" s="146">
        <f>ROUND(E12/$E$14*100,1)+0.1</f>
        <v>4.8999999999999995</v>
      </c>
      <c r="F46" s="146">
        <f t="shared" ref="F46:F47" si="16">ROUND(F12/$F$14*100,1)</f>
        <v>0.3</v>
      </c>
      <c r="G46" s="142"/>
      <c r="H46" s="2" t="s">
        <v>373</v>
      </c>
      <c r="I46" s="2"/>
      <c r="J46" s="2"/>
    </row>
    <row r="47" spans="2:20" ht="15" x14ac:dyDescent="0.2">
      <c r="B47" s="18" t="s">
        <v>368</v>
      </c>
      <c r="C47" s="142">
        <f t="shared" si="14"/>
        <v>0.9</v>
      </c>
      <c r="D47" s="150">
        <f>ROUND(D13/$D$14*100,1)</f>
        <v>1.7</v>
      </c>
      <c r="E47" s="142">
        <f t="shared" ref="E47" si="17">ROUND(E13/$E$14*100,1)</f>
        <v>1</v>
      </c>
      <c r="F47" s="142">
        <f t="shared" si="16"/>
        <v>0</v>
      </c>
      <c r="G47" s="142"/>
      <c r="H47" s="2"/>
      <c r="I47" s="2"/>
      <c r="J47" s="2"/>
    </row>
    <row r="48" spans="2:20" ht="15" x14ac:dyDescent="0.2">
      <c r="B48" s="145" t="s">
        <v>338</v>
      </c>
      <c r="C48" s="146">
        <f>SUM(C45:C47)</f>
        <v>100</v>
      </c>
      <c r="D48" s="148">
        <f>SUM(D45:D47)</f>
        <v>100</v>
      </c>
      <c r="E48" s="146">
        <f>SUM(E45:E47)</f>
        <v>100</v>
      </c>
      <c r="F48" s="146">
        <f>SUM(F45:F47)</f>
        <v>100</v>
      </c>
      <c r="G48" s="142"/>
      <c r="H48" s="2"/>
      <c r="I48" s="2"/>
      <c r="J48" s="2"/>
    </row>
    <row r="49" spans="2:10" ht="9.9499999999999993" customHeight="1" x14ac:dyDescent="0.2">
      <c r="C49" s="142"/>
      <c r="D49" s="150"/>
      <c r="E49" s="142"/>
      <c r="F49" s="142"/>
      <c r="G49" s="142"/>
      <c r="H49" s="2"/>
      <c r="I49" s="2"/>
      <c r="J49" s="2"/>
    </row>
    <row r="50" spans="2:10" ht="15.75" x14ac:dyDescent="0.25">
      <c r="B50" s="141" t="s">
        <v>377</v>
      </c>
      <c r="C50" s="142"/>
      <c r="D50" s="150"/>
      <c r="E50" s="142"/>
      <c r="F50" s="142"/>
      <c r="G50" s="142"/>
      <c r="H50" s="2"/>
      <c r="I50" s="2"/>
      <c r="J50" s="2"/>
    </row>
    <row r="51" spans="2:10" ht="15" x14ac:dyDescent="0.2">
      <c r="B51" s="18" t="s">
        <v>372</v>
      </c>
      <c r="C51" s="142">
        <f>ROUNDDOWN(C15/C$18*100,1)</f>
        <v>64.8</v>
      </c>
      <c r="D51" s="150">
        <f>ROUND(D15/D$18*100,1)</f>
        <v>63.3</v>
      </c>
      <c r="E51" s="142">
        <f>ROUNDUP(E15/E$18*100,1)</f>
        <v>69</v>
      </c>
      <c r="F51" s="142">
        <f>ROUND(F15/F$18*100,1)</f>
        <v>100</v>
      </c>
      <c r="G51" s="142"/>
      <c r="H51" s="2"/>
      <c r="I51" s="2"/>
      <c r="J51" s="2"/>
    </row>
    <row r="52" spans="2:10" ht="15" x14ac:dyDescent="0.2">
      <c r="B52" s="145" t="s">
        <v>367</v>
      </c>
      <c r="C52" s="146">
        <f>ROUND(C16/C$18*100,1)</f>
        <v>33.4</v>
      </c>
      <c r="D52" s="148">
        <f>ROUND(D16/D$18*100,1)</f>
        <v>34.9</v>
      </c>
      <c r="E52" s="146">
        <f t="shared" ref="C52:F53" si="18">ROUND(E16/E$18*100,1)</f>
        <v>29.3</v>
      </c>
      <c r="F52" s="146">
        <f t="shared" si="18"/>
        <v>0</v>
      </c>
      <c r="G52" s="142"/>
      <c r="H52" s="2"/>
      <c r="I52" s="2"/>
      <c r="J52" s="2"/>
    </row>
    <row r="53" spans="2:10" ht="15" x14ac:dyDescent="0.2">
      <c r="B53" s="163" t="s">
        <v>368</v>
      </c>
      <c r="C53" s="147">
        <f t="shared" si="18"/>
        <v>1.8</v>
      </c>
      <c r="D53" s="149">
        <f>ROUND(D17/D$18*100,1)</f>
        <v>1.8</v>
      </c>
      <c r="E53" s="147">
        <f t="shared" ref="E53:F53" si="19">ROUND(E17/E$18*100,1)</f>
        <v>1.7</v>
      </c>
      <c r="F53" s="147">
        <f t="shared" si="19"/>
        <v>0</v>
      </c>
      <c r="G53" s="142"/>
      <c r="H53" s="2"/>
      <c r="I53" s="2"/>
      <c r="J53" s="2"/>
    </row>
    <row r="54" spans="2:10" ht="15" customHeight="1" x14ac:dyDescent="0.2">
      <c r="B54" s="145" t="s">
        <v>338</v>
      </c>
      <c r="C54" s="146">
        <f>SUM(C51:C53)</f>
        <v>99.999999999999986</v>
      </c>
      <c r="D54" s="148">
        <f>SUM(D51:D53)</f>
        <v>99.999999999999986</v>
      </c>
      <c r="E54" s="146">
        <f>SUM(E51:E53)</f>
        <v>100</v>
      </c>
      <c r="F54" s="146">
        <f>SUM(F51:F53)</f>
        <v>100</v>
      </c>
      <c r="G54" s="142"/>
      <c r="H54" s="2"/>
      <c r="I54" s="2"/>
      <c r="J54" s="2"/>
    </row>
    <row r="55" spans="2:10" ht="9.9499999999999993" customHeight="1" x14ac:dyDescent="0.2">
      <c r="C55" s="142"/>
      <c r="D55" s="150"/>
      <c r="E55" s="142"/>
      <c r="F55" s="142"/>
      <c r="G55" s="142"/>
      <c r="H55" s="2"/>
      <c r="I55" s="2"/>
      <c r="J55" s="2"/>
    </row>
    <row r="56" spans="2:10" ht="15.75" x14ac:dyDescent="0.25">
      <c r="B56" s="141" t="s">
        <v>376</v>
      </c>
      <c r="C56" s="142"/>
      <c r="D56" s="150"/>
      <c r="E56" s="142"/>
      <c r="F56" s="142"/>
      <c r="G56" s="142"/>
      <c r="H56" s="2"/>
      <c r="I56" s="2"/>
      <c r="J56" s="2"/>
    </row>
    <row r="57" spans="2:10" ht="15" x14ac:dyDescent="0.2">
      <c r="B57" s="18" t="s">
        <v>372</v>
      </c>
      <c r="C57" s="142">
        <f>ROUND(C19/C$24*100,1)</f>
        <v>4.3</v>
      </c>
      <c r="D57" s="150">
        <f>ROUND(D19/D$24*100,1)</f>
        <v>2.7</v>
      </c>
      <c r="E57" s="142">
        <f>ROUND(E19/E$24*100,1)</f>
        <v>4.9000000000000004</v>
      </c>
      <c r="F57" s="142">
        <f>ROUND(F19/F$24*100,1)</f>
        <v>7</v>
      </c>
      <c r="G57" s="142"/>
      <c r="H57" s="2"/>
      <c r="I57" s="2"/>
      <c r="J57" s="2"/>
    </row>
    <row r="58" spans="2:10" ht="15" x14ac:dyDescent="0.2">
      <c r="B58" s="145" t="s">
        <v>367</v>
      </c>
      <c r="C58" s="146">
        <f>ROUNDDOWN(C20/C$24*100,1)</f>
        <v>47.9</v>
      </c>
      <c r="D58" s="148">
        <f>ROUNDDOWN(D20/D$24*100,1)</f>
        <v>53.6</v>
      </c>
      <c r="E58" s="146">
        <f>ROUND(E20/E$24*100,1)-0.1</f>
        <v>51.199999999999996</v>
      </c>
      <c r="F58" s="146">
        <f>ROUND(F20/F$24*100,1)</f>
        <v>32.9</v>
      </c>
      <c r="G58" s="142"/>
      <c r="H58" s="2"/>
      <c r="I58" s="2"/>
      <c r="J58" s="2"/>
    </row>
    <row r="59" spans="2:10" ht="15" x14ac:dyDescent="0.2">
      <c r="B59" s="18" t="s">
        <v>369</v>
      </c>
      <c r="C59" s="142">
        <f>ROUND(C21/C$24*100,1)</f>
        <v>20.9</v>
      </c>
      <c r="D59" s="150">
        <f t="shared" ref="C59:F61" si="20">ROUND(D21/D$24*100,1)</f>
        <v>18.3</v>
      </c>
      <c r="E59" s="142">
        <f t="shared" si="20"/>
        <v>19.3</v>
      </c>
      <c r="F59" s="142">
        <f t="shared" si="20"/>
        <v>27.9</v>
      </c>
      <c r="G59" s="142"/>
      <c r="H59" s="2"/>
      <c r="I59" s="2"/>
      <c r="J59" s="2"/>
    </row>
    <row r="60" spans="2:10" ht="15" x14ac:dyDescent="0.2">
      <c r="B60" s="145" t="s">
        <v>370</v>
      </c>
      <c r="C60" s="146">
        <f t="shared" si="20"/>
        <v>19.399999999999999</v>
      </c>
      <c r="D60" s="148">
        <f t="shared" si="20"/>
        <v>20.3</v>
      </c>
      <c r="E60" s="146">
        <f t="shared" si="20"/>
        <v>17.100000000000001</v>
      </c>
      <c r="F60" s="146">
        <f>ROUND(F22/F$24*100,1)</f>
        <v>19.899999999999999</v>
      </c>
      <c r="G60" s="142"/>
      <c r="H60" s="2"/>
      <c r="I60" s="2"/>
      <c r="J60" s="2"/>
    </row>
    <row r="61" spans="2:10" ht="15" x14ac:dyDescent="0.2">
      <c r="B61" s="18" t="s">
        <v>418</v>
      </c>
      <c r="C61" s="142">
        <f t="shared" si="20"/>
        <v>7.5</v>
      </c>
      <c r="D61" s="150">
        <f t="shared" si="20"/>
        <v>5.0999999999999996</v>
      </c>
      <c r="E61" s="142">
        <f t="shared" si="20"/>
        <v>7.5</v>
      </c>
      <c r="F61" s="142">
        <f t="shared" si="20"/>
        <v>12.3</v>
      </c>
      <c r="G61" s="142"/>
      <c r="H61" s="6"/>
      <c r="I61" s="6"/>
      <c r="J61" s="6"/>
    </row>
    <row r="62" spans="2:10" ht="15" x14ac:dyDescent="0.2">
      <c r="B62" s="145" t="s">
        <v>338</v>
      </c>
      <c r="C62" s="146">
        <f>SUM(C57:C61)</f>
        <v>100</v>
      </c>
      <c r="D62" s="148">
        <f>SUM(D57:D61)</f>
        <v>100</v>
      </c>
      <c r="E62" s="146">
        <f>SUM(E57:E61)</f>
        <v>100</v>
      </c>
      <c r="F62" s="146">
        <f>SUM(F57:F61)</f>
        <v>99.999999999999986</v>
      </c>
      <c r="G62" s="142"/>
      <c r="H62" s="6"/>
      <c r="I62" s="6"/>
      <c r="J62" s="6"/>
    </row>
    <row r="63" spans="2:10" ht="9.9499999999999993" customHeight="1" x14ac:dyDescent="0.2">
      <c r="C63" s="142"/>
      <c r="D63" s="150"/>
      <c r="E63" s="142"/>
      <c r="F63" s="142"/>
      <c r="G63" s="142"/>
      <c r="H63" s="6"/>
      <c r="I63" s="6"/>
      <c r="J63" s="6"/>
    </row>
    <row r="64" spans="2:10" ht="15.75" x14ac:dyDescent="0.25">
      <c r="B64" s="141" t="s">
        <v>433</v>
      </c>
      <c r="C64" s="142"/>
      <c r="D64" s="150"/>
      <c r="E64" s="142"/>
      <c r="F64" s="142"/>
      <c r="G64" s="142"/>
      <c r="H64" s="6"/>
      <c r="I64" s="6"/>
      <c r="J64" s="6"/>
    </row>
    <row r="65" spans="2:16" ht="15" x14ac:dyDescent="0.2">
      <c r="B65" s="288" t="s">
        <v>434</v>
      </c>
      <c r="C65" s="279">
        <f t="shared" ref="C65:F66" si="21">ROUND(C25/C$27*100,1)</f>
        <v>87.6</v>
      </c>
      <c r="D65" s="279">
        <f t="shared" si="21"/>
        <v>76.2</v>
      </c>
      <c r="E65" s="279">
        <f t="shared" si="21"/>
        <v>80.2</v>
      </c>
      <c r="F65" s="279">
        <f t="shared" si="21"/>
        <v>99.7</v>
      </c>
      <c r="G65" s="142"/>
      <c r="H65" s="6"/>
      <c r="I65" s="6"/>
      <c r="J65" s="6"/>
    </row>
    <row r="66" spans="2:16" ht="15" x14ac:dyDescent="0.2">
      <c r="B66" s="290" t="s">
        <v>367</v>
      </c>
      <c r="C66" s="283">
        <f t="shared" si="21"/>
        <v>12.4</v>
      </c>
      <c r="D66" s="283">
        <f t="shared" si="21"/>
        <v>23.8</v>
      </c>
      <c r="E66" s="283">
        <f t="shared" si="21"/>
        <v>19.8</v>
      </c>
      <c r="F66" s="283">
        <f t="shared" si="21"/>
        <v>0.3</v>
      </c>
      <c r="G66" s="142"/>
      <c r="H66" s="6"/>
      <c r="I66" s="6"/>
      <c r="J66" s="6"/>
    </row>
    <row r="67" spans="2:16" ht="15" x14ac:dyDescent="0.2">
      <c r="B67" s="288" t="s">
        <v>338</v>
      </c>
      <c r="C67" s="279">
        <f>SUM(C65:C66)</f>
        <v>100</v>
      </c>
      <c r="D67" s="279">
        <f>SUM(D65:D66)</f>
        <v>100</v>
      </c>
      <c r="E67" s="279">
        <f>SUM(E65:E66)</f>
        <v>100</v>
      </c>
      <c r="F67" s="279">
        <f>SUM(F65:F66)</f>
        <v>100</v>
      </c>
      <c r="G67" s="142"/>
      <c r="H67" s="6"/>
      <c r="I67" s="6"/>
      <c r="J67" s="6"/>
    </row>
    <row r="68" spans="2:16" ht="9.9499999999999993" customHeight="1" x14ac:dyDescent="0.2">
      <c r="G68" s="142"/>
      <c r="H68" s="6"/>
      <c r="I68" s="6"/>
      <c r="J68" s="6"/>
    </row>
    <row r="69" spans="2:16" ht="15.75" x14ac:dyDescent="0.25">
      <c r="B69" s="141" t="s">
        <v>435</v>
      </c>
      <c r="C69" s="142"/>
      <c r="D69" s="150"/>
      <c r="E69" s="142"/>
      <c r="F69" s="142"/>
      <c r="G69" s="142"/>
      <c r="H69" s="6"/>
      <c r="I69" s="6"/>
      <c r="J69" s="6"/>
    </row>
    <row r="70" spans="2:16" ht="15" x14ac:dyDescent="0.2">
      <c r="B70" s="288" t="s">
        <v>434</v>
      </c>
      <c r="C70" s="279">
        <f>ROUND(C28/C$30*100,1)</f>
        <v>99.6</v>
      </c>
      <c r="D70" s="279">
        <f t="shared" ref="D70:F70" si="22">ROUND(D28/D$30*100,1)</f>
        <v>99.6</v>
      </c>
      <c r="E70" s="279">
        <f t="shared" si="22"/>
        <v>99.6</v>
      </c>
      <c r="F70" s="279">
        <f t="shared" si="22"/>
        <v>100</v>
      </c>
      <c r="G70" s="142"/>
      <c r="H70" s="6"/>
      <c r="I70" s="6"/>
      <c r="J70" s="6"/>
    </row>
    <row r="71" spans="2:16" ht="15" x14ac:dyDescent="0.2">
      <c r="B71" s="290" t="s">
        <v>367</v>
      </c>
      <c r="C71" s="283">
        <f>ROUND(C29/C$30*100,1)</f>
        <v>0.4</v>
      </c>
      <c r="D71" s="283">
        <f t="shared" ref="D71:F71" si="23">ROUND(D29/D$30*100,1)</f>
        <v>0.4</v>
      </c>
      <c r="E71" s="283">
        <f t="shared" si="23"/>
        <v>0.4</v>
      </c>
      <c r="F71" s="283">
        <f t="shared" si="23"/>
        <v>0</v>
      </c>
      <c r="G71" s="142"/>
      <c r="H71" s="6"/>
      <c r="I71" s="6"/>
      <c r="J71" s="6"/>
    </row>
    <row r="72" spans="2:16" ht="15.75" thickBot="1" x14ac:dyDescent="0.25">
      <c r="B72" s="291" t="s">
        <v>338</v>
      </c>
      <c r="C72" s="292">
        <f>SUM(C70:C71)</f>
        <v>100</v>
      </c>
      <c r="D72" s="292">
        <f>SUM(D70:D71)</f>
        <v>100</v>
      </c>
      <c r="E72" s="292">
        <f>SUM(E70:E71)</f>
        <v>100</v>
      </c>
      <c r="F72" s="292">
        <f>SUM(F70:F71)</f>
        <v>100</v>
      </c>
      <c r="G72" s="142"/>
      <c r="H72" s="6"/>
      <c r="I72" s="6"/>
      <c r="J72" s="6"/>
    </row>
    <row r="73" spans="2:16" ht="15" x14ac:dyDescent="0.2">
      <c r="B73" s="102" t="s">
        <v>346</v>
      </c>
      <c r="C73" s="279"/>
      <c r="D73" s="289"/>
      <c r="E73" s="279"/>
      <c r="F73" s="279"/>
      <c r="G73" s="142"/>
      <c r="H73" s="6"/>
      <c r="I73" s="6"/>
      <c r="J73" s="6"/>
    </row>
    <row r="74" spans="2:16" ht="15" x14ac:dyDescent="0.2">
      <c r="B74" s="83" t="s">
        <v>471</v>
      </c>
      <c r="C74" s="279"/>
      <c r="D74" s="289"/>
      <c r="E74" s="279"/>
      <c r="F74" s="279"/>
      <c r="G74" s="142"/>
      <c r="H74" s="6"/>
      <c r="I74" s="6"/>
      <c r="J74" s="6"/>
    </row>
    <row r="75" spans="2:16" x14ac:dyDescent="0.2">
      <c r="C75" s="9"/>
      <c r="D75" s="9"/>
      <c r="E75" s="9"/>
      <c r="F75" s="9"/>
      <c r="G75" s="6"/>
      <c r="H75" s="6"/>
      <c r="I75" s="6"/>
      <c r="J75" s="6"/>
    </row>
    <row r="76" spans="2:16" ht="20.25" customHeight="1" x14ac:dyDescent="0.35">
      <c r="B76" s="98" t="s">
        <v>387</v>
      </c>
      <c r="C76" s="99"/>
      <c r="D76" s="99"/>
      <c r="E76" s="99"/>
      <c r="F76" s="10"/>
      <c r="G76" s="6"/>
      <c r="H76" s="6"/>
      <c r="I76" s="6"/>
      <c r="J76" s="6"/>
    </row>
    <row r="77" spans="2:16" ht="20.25" customHeight="1" x14ac:dyDescent="0.35">
      <c r="B77" s="98" t="str">
        <f>C37</f>
        <v>2025 Tax Year</v>
      </c>
      <c r="C77" s="99"/>
      <c r="D77" s="99"/>
      <c r="E77" s="99"/>
      <c r="F77" s="10"/>
      <c r="G77" s="6"/>
      <c r="H77" s="6"/>
      <c r="I77" s="6"/>
      <c r="J77" s="6"/>
    </row>
    <row r="78" spans="2:16" ht="15" x14ac:dyDescent="0.2">
      <c r="B78" s="100"/>
      <c r="C78" s="101" t="s">
        <v>340</v>
      </c>
      <c r="D78" s="101" t="s">
        <v>341</v>
      </c>
      <c r="E78" s="100"/>
      <c r="F78" s="9"/>
      <c r="G78" s="6"/>
      <c r="H78" s="6"/>
      <c r="I78" s="6"/>
      <c r="J78" s="6"/>
    </row>
    <row r="79" spans="2:16" ht="15.75" thickBot="1" x14ac:dyDescent="0.25">
      <c r="B79" s="105" t="s">
        <v>354</v>
      </c>
      <c r="C79" s="106" t="s">
        <v>342</v>
      </c>
      <c r="D79" s="106" t="s">
        <v>342</v>
      </c>
      <c r="E79" s="106" t="s">
        <v>8</v>
      </c>
      <c r="F79" s="10"/>
      <c r="G79" s="6"/>
      <c r="H79" s="6"/>
      <c r="I79" s="6"/>
      <c r="J79" s="6"/>
      <c r="N79" s="251"/>
      <c r="O79" s="251"/>
      <c r="P79" s="251"/>
    </row>
    <row r="80" spans="2:16" ht="14.25" x14ac:dyDescent="0.2">
      <c r="B80" s="83" t="s">
        <v>9</v>
      </c>
      <c r="C80" s="111">
        <v>34769394749</v>
      </c>
      <c r="D80" s="111">
        <v>16385337681</v>
      </c>
      <c r="E80" s="111">
        <f>SUM(C80:D80)</f>
        <v>51154732430</v>
      </c>
      <c r="F80" s="10"/>
      <c r="G80" s="6"/>
      <c r="H80" s="9"/>
      <c r="I80" s="6"/>
      <c r="J80" s="6"/>
      <c r="N80" s="251"/>
      <c r="O80" s="251"/>
      <c r="P80" s="251"/>
    </row>
    <row r="81" spans="2:16" ht="14.25" x14ac:dyDescent="0.2">
      <c r="B81" s="84" t="s">
        <v>343</v>
      </c>
      <c r="C81" s="501">
        <f>C80/E80</f>
        <v>0.67969067762358737</v>
      </c>
      <c r="D81" s="501">
        <f>D80/E80</f>
        <v>0.32030932237641263</v>
      </c>
      <c r="E81" s="501">
        <f>SUM(C81:D81)</f>
        <v>1</v>
      </c>
      <c r="G81" s="6"/>
      <c r="H81" s="10"/>
      <c r="I81" s="6"/>
      <c r="J81" s="6"/>
      <c r="N81" s="251"/>
      <c r="O81" s="251"/>
      <c r="P81" s="251"/>
    </row>
    <row r="82" spans="2:16" ht="14.25" x14ac:dyDescent="0.2">
      <c r="B82" s="83" t="s">
        <v>72</v>
      </c>
      <c r="C82" s="111">
        <v>12391904879</v>
      </c>
      <c r="D82" s="111">
        <v>49210991637.259995</v>
      </c>
      <c r="E82" s="111">
        <f>SUM(C82:D82)</f>
        <v>61602896516.259995</v>
      </c>
      <c r="G82" s="6"/>
      <c r="H82" s="10"/>
      <c r="I82" s="6"/>
      <c r="J82" s="6"/>
      <c r="N82" s="251"/>
      <c r="O82" s="251"/>
      <c r="P82" s="251"/>
    </row>
    <row r="83" spans="2:16" ht="14.25" x14ac:dyDescent="0.2">
      <c r="B83" s="84" t="s">
        <v>344</v>
      </c>
      <c r="C83" s="501">
        <f>C82/E82</f>
        <v>0.20115782828051235</v>
      </c>
      <c r="D83" s="501">
        <f>D82/E82</f>
        <v>0.79884217171948768</v>
      </c>
      <c r="E83" s="501">
        <f>SUM(C83:D83)</f>
        <v>1</v>
      </c>
      <c r="F83" s="113"/>
      <c r="G83" s="6"/>
      <c r="H83" s="10"/>
      <c r="I83" s="6"/>
      <c r="J83" s="6"/>
      <c r="N83" s="251"/>
      <c r="O83" s="251"/>
      <c r="P83" s="251"/>
    </row>
    <row r="84" spans="2:16" ht="15" x14ac:dyDescent="0.25">
      <c r="B84" s="82" t="s">
        <v>484</v>
      </c>
      <c r="C84" s="366">
        <f>C80+C82</f>
        <v>47161299628</v>
      </c>
      <c r="D84" s="366">
        <f t="shared" ref="D84:E84" si="24">D80+D82</f>
        <v>65596329318.259995</v>
      </c>
      <c r="E84" s="366">
        <f t="shared" si="24"/>
        <v>112757628946.25999</v>
      </c>
      <c r="F84" s="113"/>
      <c r="G84" s="6"/>
      <c r="H84" s="10"/>
      <c r="I84" s="6"/>
      <c r="J84" s="6"/>
      <c r="N84" s="251"/>
      <c r="O84" s="251"/>
      <c r="P84" s="251"/>
    </row>
    <row r="85" spans="2:16" ht="14.25" x14ac:dyDescent="0.2">
      <c r="B85" s="84" t="s">
        <v>521</v>
      </c>
      <c r="C85" s="501">
        <f>C84/$E$84</f>
        <v>0.41825373652080744</v>
      </c>
      <c r="D85" s="501">
        <f t="shared" ref="D85:E85" si="25">D84/$E$84</f>
        <v>0.58174626347919256</v>
      </c>
      <c r="E85" s="502">
        <f t="shared" si="25"/>
        <v>1</v>
      </c>
      <c r="F85" s="113"/>
      <c r="G85" s="6"/>
      <c r="H85" s="10"/>
      <c r="I85" s="6"/>
      <c r="J85" s="6"/>
      <c r="N85" s="251"/>
      <c r="O85" s="251"/>
      <c r="P85" s="251"/>
    </row>
    <row r="86" spans="2:16" ht="14.25" x14ac:dyDescent="0.2">
      <c r="B86" s="83"/>
      <c r="C86" s="83"/>
      <c r="D86" s="83"/>
      <c r="E86" s="83"/>
      <c r="F86" s="113"/>
      <c r="G86" s="6"/>
      <c r="H86" s="10"/>
      <c r="I86" s="6"/>
      <c r="J86" s="6"/>
      <c r="N86" s="251"/>
      <c r="O86" s="251"/>
      <c r="P86" s="251"/>
    </row>
    <row r="87" spans="2:16" ht="14.25" x14ac:dyDescent="0.2">
      <c r="B87" s="84" t="s">
        <v>347</v>
      </c>
      <c r="C87" s="503">
        <f>C80/C84</f>
        <v>0.73724420283696257</v>
      </c>
      <c r="D87" s="503">
        <f>D80/D84</f>
        <v>0.24979046619364459</v>
      </c>
      <c r="E87" s="503">
        <f>E80/E84</f>
        <v>0.45366981292574199</v>
      </c>
      <c r="G87" s="6"/>
      <c r="H87" s="6"/>
      <c r="I87" s="6"/>
      <c r="J87" s="6"/>
      <c r="N87" s="251"/>
      <c r="O87" s="251"/>
      <c r="P87" s="251"/>
    </row>
    <row r="88" spans="2:16" ht="14.25" x14ac:dyDescent="0.2">
      <c r="B88" s="83" t="s">
        <v>348</v>
      </c>
      <c r="C88" s="504">
        <f>C82/C84</f>
        <v>0.26275579716303743</v>
      </c>
      <c r="D88" s="504">
        <f>D82/D84</f>
        <v>0.75020953380635547</v>
      </c>
      <c r="E88" s="504">
        <f>E82/E84</f>
        <v>0.54633018707425807</v>
      </c>
      <c r="F88" s="9"/>
      <c r="G88" s="6"/>
      <c r="H88" s="6"/>
      <c r="I88" s="6"/>
      <c r="J88" s="6"/>
      <c r="N88" s="251"/>
      <c r="O88" s="251"/>
      <c r="P88" s="251"/>
    </row>
    <row r="89" spans="2:16" ht="15.75" thickBot="1" x14ac:dyDescent="0.3">
      <c r="B89" s="387" t="s">
        <v>338</v>
      </c>
      <c r="C89" s="505">
        <f>SUM(C87:C88)</f>
        <v>1</v>
      </c>
      <c r="D89" s="505">
        <f>SUM(D87:D88)</f>
        <v>1</v>
      </c>
      <c r="E89" s="505">
        <f>SUM(E87:E88)</f>
        <v>1</v>
      </c>
      <c r="F89" s="10"/>
      <c r="G89" s="6"/>
      <c r="H89" s="6"/>
      <c r="I89" s="6"/>
      <c r="J89" s="6"/>
      <c r="N89" s="251"/>
      <c r="O89" s="251"/>
      <c r="P89" s="251"/>
    </row>
    <row r="90" spans="2:16" ht="14.25" x14ac:dyDescent="0.2">
      <c r="B90" s="321" t="s">
        <v>345</v>
      </c>
      <c r="C90" s="363"/>
      <c r="D90" s="363"/>
      <c r="E90" s="363"/>
      <c r="F90" s="10"/>
      <c r="G90" s="6"/>
      <c r="H90" s="6"/>
      <c r="I90" s="6"/>
      <c r="J90" s="6"/>
    </row>
    <row r="91" spans="2:16" ht="14.25" x14ac:dyDescent="0.2">
      <c r="B91" s="321"/>
      <c r="C91" s="363"/>
      <c r="D91" s="363"/>
      <c r="E91" s="363"/>
      <c r="F91" s="363"/>
      <c r="G91" s="6"/>
      <c r="H91" s="6"/>
      <c r="I91" s="6"/>
      <c r="J91" s="6"/>
    </row>
    <row r="92" spans="2:16" ht="14.25" x14ac:dyDescent="0.2">
      <c r="B92" s="265"/>
      <c r="C92" s="139"/>
      <c r="D92" s="10"/>
      <c r="E92" s="10"/>
      <c r="F92" s="10"/>
      <c r="G92" s="6"/>
      <c r="H92" s="6"/>
      <c r="I92" s="6"/>
      <c r="J92" s="6"/>
    </row>
    <row r="93" spans="2:16" ht="14.25" customHeight="1" x14ac:dyDescent="0.2">
      <c r="C93" s="140"/>
      <c r="H93" s="6"/>
      <c r="I93" s="6"/>
      <c r="J93" s="6"/>
    </row>
    <row r="94" spans="2:16" ht="15" customHeight="1" x14ac:dyDescent="0.2">
      <c r="B94" s="633">
        <f>'table 1 &amp; 2'!A90+1</f>
        <v>10</v>
      </c>
      <c r="C94" s="633"/>
      <c r="D94" s="633"/>
      <c r="E94" s="633"/>
      <c r="F94" s="633"/>
      <c r="G94" s="633"/>
      <c r="H94" s="633"/>
      <c r="I94" s="633"/>
      <c r="J94" s="633"/>
    </row>
    <row r="95" spans="2:16" hidden="1" x14ac:dyDescent="0.2"/>
    <row r="96" spans="2:16" ht="14.25" hidden="1" x14ac:dyDescent="0.2">
      <c r="C96" s="111">
        <v>29026829932</v>
      </c>
      <c r="E96" s="6"/>
      <c r="H96" s="6"/>
      <c r="I96" s="6"/>
      <c r="J96" s="6"/>
    </row>
    <row r="97" spans="2:10" ht="14.25" hidden="1" x14ac:dyDescent="0.2">
      <c r="B97" s="6"/>
      <c r="C97" s="111">
        <v>28317018071</v>
      </c>
      <c r="D97" s="6"/>
      <c r="E97" s="6"/>
      <c r="F97" s="6"/>
      <c r="G97" s="6"/>
      <c r="H97" s="6"/>
      <c r="I97" s="6"/>
      <c r="J97" s="6"/>
    </row>
    <row r="98" spans="2:10" hidden="1" x14ac:dyDescent="0.2">
      <c r="B98" s="6"/>
      <c r="C98" s="267">
        <f>+C96-C97</f>
        <v>709811861</v>
      </c>
      <c r="D98" s="6"/>
      <c r="E98" s="6"/>
      <c r="F98" s="6"/>
      <c r="G98" s="6"/>
      <c r="H98" s="6"/>
      <c r="I98" s="6"/>
      <c r="J98" s="6"/>
    </row>
    <row r="99" spans="2:10" hidden="1" x14ac:dyDescent="0.2">
      <c r="B99" s="6"/>
      <c r="C99" s="266">
        <v>2984971</v>
      </c>
      <c r="D99" s="6" t="s">
        <v>419</v>
      </c>
      <c r="E99" s="6"/>
      <c r="F99" s="6"/>
      <c r="G99" s="6"/>
      <c r="H99" s="6"/>
      <c r="I99" s="6"/>
      <c r="J99" s="6"/>
    </row>
    <row r="100" spans="2:10" hidden="1" x14ac:dyDescent="0.2">
      <c r="C100" s="169">
        <v>706826890</v>
      </c>
      <c r="D100" t="s">
        <v>415</v>
      </c>
    </row>
    <row r="101" spans="2:10" hidden="1" x14ac:dyDescent="0.2">
      <c r="C101" s="113">
        <f>+C98-C100</f>
        <v>2984971</v>
      </c>
    </row>
    <row r="102" spans="2:10" hidden="1" x14ac:dyDescent="0.2"/>
    <row r="103" spans="2:10" ht="9.75" customHeight="1" x14ac:dyDescent="0.2"/>
    <row r="104" spans="2:10" ht="11.25" customHeight="1" x14ac:dyDescent="0.2"/>
    <row r="125" spans="2:10" x14ac:dyDescent="0.2">
      <c r="B125" s="634"/>
      <c r="C125" s="634"/>
      <c r="D125" s="634"/>
      <c r="E125" s="634"/>
      <c r="F125" s="634"/>
      <c r="G125" s="634"/>
      <c r="H125" s="634"/>
      <c r="I125" s="634"/>
      <c r="J125" s="634"/>
    </row>
  </sheetData>
  <mergeCells count="3">
    <mergeCell ref="B125:J125"/>
    <mergeCell ref="B94:J94"/>
    <mergeCell ref="L36:T38"/>
  </mergeCells>
  <phoneticPr fontId="0" type="noConversion"/>
  <printOptions horizontalCentered="1"/>
  <pageMargins left="0.5" right="0.5" top="0.42" bottom="0.5" header="0" footer="0"/>
  <pageSetup scale="52" orientation="portrait" r:id="rId1"/>
  <headerFooter alignWithMargins="0">
    <oddFooter xml:space="preserve">&amp;C
</oddFooter>
  </headerFooter>
  <ignoredErrors>
    <ignoredError sqref="E84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rgb="FF00B050"/>
    <pageSetUpPr fitToPage="1"/>
  </sheetPr>
  <dimension ref="B2:O93"/>
  <sheetViews>
    <sheetView showGridLines="0" showZeros="0" zoomScaleNormal="100" workbookViewId="0">
      <selection activeCell="B50" sqref="B50"/>
    </sheetView>
  </sheetViews>
  <sheetFormatPr defaultRowHeight="12.75" x14ac:dyDescent="0.2"/>
  <cols>
    <col min="1" max="1" width="17.42578125" customWidth="1"/>
    <col min="2" max="2" width="10.85546875" bestFit="1" customWidth="1"/>
    <col min="3" max="3" width="10.140625" customWidth="1"/>
    <col min="4" max="4" width="13.140625" customWidth="1"/>
    <col min="5" max="5" width="14.42578125" customWidth="1"/>
    <col min="6" max="6" width="11.5703125" customWidth="1"/>
    <col min="7" max="7" width="17.140625" customWidth="1"/>
    <col min="8" max="8" width="2" customWidth="1"/>
    <col min="9" max="9" width="12.140625" bestFit="1" customWidth="1"/>
    <col min="10" max="10" width="11.85546875" bestFit="1" customWidth="1"/>
    <col min="11" max="11" width="10" bestFit="1" customWidth="1"/>
    <col min="12" max="12" width="14.42578125" bestFit="1" customWidth="1"/>
    <col min="13" max="13" width="12.140625" bestFit="1" customWidth="1"/>
    <col min="14" max="14" width="12.5703125" bestFit="1" customWidth="1"/>
    <col min="15" max="15" width="13.85546875" bestFit="1" customWidth="1"/>
    <col min="16" max="16" width="12.140625" bestFit="1" customWidth="1"/>
    <col min="17" max="17" width="11.140625" bestFit="1" customWidth="1"/>
    <col min="18" max="18" width="12.140625" bestFit="1" customWidth="1"/>
  </cols>
  <sheetData>
    <row r="2" spans="2:15" x14ac:dyDescent="0.2">
      <c r="C2" s="6"/>
      <c r="D2" s="6"/>
      <c r="E2" s="6"/>
      <c r="F2" s="6"/>
      <c r="G2" s="6"/>
      <c r="H2" s="6"/>
    </row>
    <row r="3" spans="2:15" ht="15" x14ac:dyDescent="0.25">
      <c r="B3" s="82" t="s">
        <v>438</v>
      </c>
      <c r="C3" s="6"/>
      <c r="D3" s="6"/>
      <c r="E3" s="6"/>
      <c r="F3" s="6"/>
      <c r="G3" s="6"/>
      <c r="H3" s="6"/>
    </row>
    <row r="4" spans="2:15" ht="15" x14ac:dyDescent="0.25">
      <c r="B4" s="82" t="s">
        <v>491</v>
      </c>
      <c r="C4" s="82"/>
      <c r="D4" s="82" t="str">
        <f>'table 1 &amp; 2'!C2</f>
        <v>2025 Tax Year</v>
      </c>
      <c r="E4" s="83"/>
      <c r="F4" s="6"/>
      <c r="G4" s="6"/>
      <c r="H4" s="6"/>
    </row>
    <row r="5" spans="2:15" x14ac:dyDescent="0.2">
      <c r="C5" s="6"/>
      <c r="D5" s="6"/>
      <c r="E5" s="6"/>
      <c r="F5" s="6"/>
      <c r="G5" s="6"/>
    </row>
    <row r="6" spans="2:15" ht="21" customHeight="1" x14ac:dyDescent="0.25">
      <c r="B6" s="3" t="s">
        <v>486</v>
      </c>
      <c r="C6" s="6"/>
      <c r="D6" s="6"/>
      <c r="E6" s="6"/>
      <c r="F6" s="6"/>
      <c r="G6" s="6"/>
      <c r="I6" s="525" t="s">
        <v>548</v>
      </c>
      <c r="J6" s="424"/>
      <c r="K6" s="424"/>
      <c r="L6" s="424"/>
      <c r="M6" s="424"/>
      <c r="N6" s="424"/>
      <c r="O6" s="424"/>
    </row>
    <row r="7" spans="2:15" ht="15.75" customHeight="1" x14ac:dyDescent="0.25">
      <c r="B7" s="3" t="str">
        <f>D4</f>
        <v>2025 Tax Year</v>
      </c>
      <c r="C7" s="6"/>
      <c r="D7" s="6"/>
      <c r="E7" s="6"/>
      <c r="F7" s="6"/>
      <c r="G7" s="6"/>
    </row>
    <row r="8" spans="2:15" x14ac:dyDescent="0.2">
      <c r="B8" s="6"/>
      <c r="C8" s="6"/>
      <c r="D8" s="6"/>
      <c r="E8" s="81" t="s">
        <v>318</v>
      </c>
      <c r="F8" s="6"/>
      <c r="G8" s="6"/>
    </row>
    <row r="9" spans="2:15" ht="13.5" thickBot="1" x14ac:dyDescent="0.25">
      <c r="B9" s="23" t="s">
        <v>27</v>
      </c>
      <c r="C9" s="24" t="s">
        <v>9</v>
      </c>
      <c r="D9" s="24" t="s">
        <v>28</v>
      </c>
      <c r="E9" s="25" t="s">
        <v>30</v>
      </c>
      <c r="F9" s="24" t="s">
        <v>10</v>
      </c>
      <c r="G9" s="21"/>
    </row>
    <row r="10" spans="2:15" x14ac:dyDescent="0.2">
      <c r="B10" s="8" t="s">
        <v>31</v>
      </c>
      <c r="C10" s="65">
        <f>'table 1 &amp; 2'!C51/'table 1 &amp; 2'!C9*1000</f>
        <v>41.003693310590712</v>
      </c>
      <c r="D10" s="65">
        <f>'table 1 &amp; 2'!D51/'table 1 &amp; 2'!D9*1000</f>
        <v>44.704810017883595</v>
      </c>
      <c r="E10" s="64" t="str">
        <f>IF('table 1 &amp; 2'!F9="","N/A",'table 1 &amp; 2'!F51/'table 1 &amp; 2'!F9*1000)</f>
        <v>N/A</v>
      </c>
      <c r="F10" s="65" t="str">
        <f>IF('table 1 &amp; 2'!G9="","N/A",'table 1 &amp; 2'!G51/'table 1 &amp; 2'!G9*1000)</f>
        <v>N/A</v>
      </c>
      <c r="G10" s="125"/>
    </row>
    <row r="11" spans="2:15" x14ac:dyDescent="0.2">
      <c r="B11" s="6" t="s">
        <v>32</v>
      </c>
      <c r="C11" s="179">
        <f>'table 1 &amp; 2'!C52/'table 1 &amp; 2'!C10*1000</f>
        <v>17.280157665037056</v>
      </c>
      <c r="D11" s="179">
        <f>'table 1 &amp; 2'!D52/'table 1 &amp; 2'!D10*1000</f>
        <v>15.689823702921167</v>
      </c>
      <c r="E11" s="180" t="str">
        <f>IF('table 1 &amp; 2'!F10="","N/A",'table 1 &amp; 2'!F52/'table 1 &amp; 2'!F10*1000)</f>
        <v>N/A</v>
      </c>
      <c r="F11" s="179" t="str">
        <f>IF('table 1 &amp; 2'!G10="","N/A",'table 1 &amp; 2'!G52/'table 1 &amp; 2'!G10*1000)</f>
        <v>N/A</v>
      </c>
      <c r="G11" s="125"/>
    </row>
    <row r="12" spans="2:15" x14ac:dyDescent="0.2">
      <c r="B12" s="8" t="s">
        <v>33</v>
      </c>
      <c r="C12" s="65">
        <f>'table 1 &amp; 2'!C53/'table 1 &amp; 2'!C11*1000</f>
        <v>24.416047246955941</v>
      </c>
      <c r="D12" s="65">
        <f>'table 1 &amp; 2'!D53/'table 1 &amp; 2'!D11*1000</f>
        <v>25.298664286070171</v>
      </c>
      <c r="E12" s="64">
        <f>IF('table 1 &amp; 2'!F11="","N/A",'table 1 &amp; 2'!F53/'table 1 &amp; 2'!F11*1000)</f>
        <v>20.602612661776043</v>
      </c>
      <c r="F12" s="65">
        <f>IF('table 1 &amp; 2'!G11="","N/A",'table 1 &amp; 2'!G53/'table 1 &amp; 2'!G11*1000)</f>
        <v>20.60591779444594</v>
      </c>
      <c r="G12" s="125"/>
    </row>
    <row r="13" spans="2:15" x14ac:dyDescent="0.2">
      <c r="B13" s="6" t="s">
        <v>34</v>
      </c>
      <c r="C13" s="179">
        <f>'table 1 &amp; 2'!C54/'table 1 &amp; 2'!C12*1000</f>
        <v>31.196933382158189</v>
      </c>
      <c r="D13" s="179">
        <f>'table 1 &amp; 2'!D54/'table 1 &amp; 2'!D12*1000</f>
        <v>33.613088704258949</v>
      </c>
      <c r="E13" s="180" t="str">
        <f>IF('table 1 &amp; 2'!F12="","N/A",'table 1 &amp; 2'!F54/'table 1 &amp; 2'!F12*1000)</f>
        <v>N/A</v>
      </c>
      <c r="F13" s="179" t="str">
        <f>IF('table 1 &amp; 2'!G12="","N/A",'table 1 &amp; 2'!G54/'table 1 &amp; 2'!G12*1000)</f>
        <v>N/A</v>
      </c>
      <c r="G13" s="125"/>
    </row>
    <row r="14" spans="2:15" x14ac:dyDescent="0.2">
      <c r="B14" s="8" t="s">
        <v>35</v>
      </c>
      <c r="C14" s="65">
        <f>'table 1 &amp; 2'!C55/'table 1 &amp; 2'!C13*1000</f>
        <v>27.391913458753834</v>
      </c>
      <c r="D14" s="65">
        <f>'table 1 &amp; 2'!D55/'table 1 &amp; 2'!D13*1000</f>
        <v>29.462400296033888</v>
      </c>
      <c r="E14" s="64">
        <f>IF('table 1 &amp; 2'!F13="","N/A",'table 1 &amp; 2'!F55/'table 1 &amp; 2'!F13*1000)</f>
        <v>23.945222921482042</v>
      </c>
      <c r="F14" s="65">
        <f>IF('table 1 &amp; 2'!G13="","N/A",'table 1 &amp; 2'!G55/'table 1 &amp; 2'!G13*1000)</f>
        <v>23.945222973436675</v>
      </c>
      <c r="G14" s="125"/>
    </row>
    <row r="15" spans="2:15" x14ac:dyDescent="0.2">
      <c r="B15" s="6" t="s">
        <v>36</v>
      </c>
      <c r="C15" s="179">
        <f>'table 1 &amp; 2'!C56/'table 1 &amp; 2'!C14*1000</f>
        <v>24.479011058502252</v>
      </c>
      <c r="D15" s="179">
        <f>'table 1 &amp; 2'!D56/'table 1 &amp; 2'!D14*1000</f>
        <v>20.224722152978519</v>
      </c>
      <c r="E15" s="180" t="str">
        <f>IF('table 1 &amp; 2'!F14="","N/A",'table 1 &amp; 2'!F56/'table 1 &amp; 2'!F14*1000)</f>
        <v>N/A</v>
      </c>
      <c r="F15" s="179" t="str">
        <f>IF('table 1 &amp; 2'!G14="","N/A",'table 1 &amp; 2'!G56/'table 1 &amp; 2'!G14*1000)</f>
        <v>N/A</v>
      </c>
      <c r="G15" s="125"/>
    </row>
    <row r="16" spans="2:15" x14ac:dyDescent="0.2">
      <c r="B16" s="8" t="s">
        <v>67</v>
      </c>
      <c r="C16" s="65">
        <f>'table 1 &amp; 2'!C57/'table 1 &amp; 2'!C15*1000</f>
        <v>19.550332021461276</v>
      </c>
      <c r="D16" s="65">
        <f>'table 1 &amp; 2'!D57/'table 1 &amp; 2'!D15*1000</f>
        <v>18.872483478666528</v>
      </c>
      <c r="E16" s="64" t="str">
        <f>IF('table 1 &amp; 2'!F15="","N/A",'table 1 &amp; 2'!F57/'table 1 &amp; 2'!F15*1000)</f>
        <v>N/A</v>
      </c>
      <c r="F16" s="65" t="str">
        <f>IF('table 1 &amp; 2'!G15="","N/A",'table 1 &amp; 2'!G57/'table 1 &amp; 2'!G15*1000)</f>
        <v>N/A</v>
      </c>
      <c r="G16" s="125"/>
    </row>
    <row r="17" spans="2:7" x14ac:dyDescent="0.2">
      <c r="B17" s="6" t="s">
        <v>37</v>
      </c>
      <c r="C17" s="179">
        <f>'table 1 &amp; 2'!C58/'table 1 &amp; 2'!C16*1000</f>
        <v>29.107498400469897</v>
      </c>
      <c r="D17" s="179">
        <f>'table 1 &amp; 2'!D58/'table 1 &amp; 2'!D16*1000</f>
        <v>32.468952133906498</v>
      </c>
      <c r="E17" s="180" t="str">
        <f>IF('table 1 &amp; 2'!F16="","N/A",'table 1 &amp; 2'!F58/'table 1 &amp; 2'!F16*1000)</f>
        <v>N/A</v>
      </c>
      <c r="F17" s="179" t="str">
        <f>IF('table 1 &amp; 2'!G16="","N/A",'table 1 &amp; 2'!G58/'table 1 &amp; 2'!G16*1000)</f>
        <v>N/A</v>
      </c>
      <c r="G17" s="125"/>
    </row>
    <row r="18" spans="2:7" x14ac:dyDescent="0.2">
      <c r="B18" s="8" t="s">
        <v>38</v>
      </c>
      <c r="C18" s="65">
        <f>'table 1 &amp; 2'!C59/'table 1 &amp; 2'!C17*1000</f>
        <v>22.552677331399185</v>
      </c>
      <c r="D18" s="65">
        <f>'table 1 &amp; 2'!D59/'table 1 &amp; 2'!D17*1000</f>
        <v>20.279478055679331</v>
      </c>
      <c r="E18" s="64">
        <f>IF('table 1 &amp; 2'!F17="","N/A",'table 1 &amp; 2'!F59/'table 1 &amp; 2'!F17*1000)</f>
        <v>21.393517571050527</v>
      </c>
      <c r="F18" s="65">
        <f>IF('table 1 &amp; 2'!G17="","N/A",'table 1 &amp; 2'!G59/'table 1 &amp; 2'!G17*1000)</f>
        <v>21.408007345287913</v>
      </c>
      <c r="G18" s="125"/>
    </row>
    <row r="19" spans="2:7" x14ac:dyDescent="0.2">
      <c r="B19" s="6" t="s">
        <v>39</v>
      </c>
      <c r="C19" s="179">
        <f>'table 1 &amp; 2'!C60/'table 1 &amp; 2'!C18*1000</f>
        <v>21.267495152342935</v>
      </c>
      <c r="D19" s="179">
        <f>'table 1 &amp; 2'!D60/'table 1 &amp; 2'!D18*1000</f>
        <v>26.37544920086853</v>
      </c>
      <c r="E19" s="180">
        <f>IF('table 1 &amp; 2'!F18="","N/A",'table 1 &amp; 2'!F60/'table 1 &amp; 2'!F18*1000)</f>
        <v>22.392880597073713</v>
      </c>
      <c r="F19" s="179" t="str">
        <f>IF('table 1 &amp; 2'!G18="","N/A",'table 1 &amp; 2'!G60/'table 1 &amp; 2'!G18*1000)</f>
        <v>N/A</v>
      </c>
      <c r="G19" s="125"/>
    </row>
    <row r="20" spans="2:7" x14ac:dyDescent="0.2">
      <c r="B20" s="8" t="s">
        <v>40</v>
      </c>
      <c r="C20" s="65">
        <f>'table 1 &amp; 2'!C61/'table 1 &amp; 2'!C19*1000</f>
        <v>27.274375562509245</v>
      </c>
      <c r="D20" s="65">
        <f>'table 1 &amp; 2'!D61/'table 1 &amp; 2'!D19*1000</f>
        <v>26.90631025479199</v>
      </c>
      <c r="E20" s="64" t="str">
        <f>IF('table 1 &amp; 2'!F19="","N/A",'table 1 &amp; 2'!F61/'table 1 &amp; 2'!F19*1000)</f>
        <v>N/A</v>
      </c>
      <c r="F20" s="65" t="str">
        <f>IF('table 1 &amp; 2'!G19="","N/A",'table 1 &amp; 2'!G61/'table 1 &amp; 2'!G19*1000)</f>
        <v>N/A</v>
      </c>
      <c r="G20" s="125"/>
    </row>
    <row r="21" spans="2:7" x14ac:dyDescent="0.2">
      <c r="B21" s="6" t="s">
        <v>41</v>
      </c>
      <c r="C21" s="179">
        <f>'table 1 &amp; 2'!C62/'table 1 &amp; 2'!C20*1000</f>
        <v>19.669177535744147</v>
      </c>
      <c r="D21" s="179">
        <f>'table 1 &amp; 2'!D62/'table 1 &amp; 2'!D20*1000</f>
        <v>23.594258979066325</v>
      </c>
      <c r="E21" s="180">
        <f>IF('table 1 &amp; 2'!F20="","N/A",'table 1 &amp; 2'!F62/'table 1 &amp; 2'!F20*1000)</f>
        <v>24.28174899452349</v>
      </c>
      <c r="F21" s="179">
        <f>IF('table 1 &amp; 2'!G20="","N/A",'table 1 &amp; 2'!G62/'table 1 &amp; 2'!G20*1000)</f>
        <v>24.255994773011871</v>
      </c>
      <c r="G21" s="125"/>
    </row>
    <row r="22" spans="2:7" x14ac:dyDescent="0.2">
      <c r="B22" s="8" t="s">
        <v>42</v>
      </c>
      <c r="C22" s="65">
        <f>'table 1 &amp; 2'!C63/'table 1 &amp; 2'!C21*1000</f>
        <v>20.302849289097011</v>
      </c>
      <c r="D22" s="65">
        <f>'table 1 &amp; 2'!D63/'table 1 &amp; 2'!D21*1000</f>
        <v>21.605586464772554</v>
      </c>
      <c r="E22" s="64" t="str">
        <f>IF('table 1 &amp; 2'!F21="","N/A",'table 1 &amp; 2'!F63/'table 1 &amp; 2'!F21*1000)</f>
        <v>N/A</v>
      </c>
      <c r="F22" s="65" t="str">
        <f>IF('table 1 &amp; 2'!G21="","N/A",'table 1 &amp; 2'!G63/'table 1 &amp; 2'!G21*1000)</f>
        <v>N/A</v>
      </c>
      <c r="G22" s="125"/>
    </row>
    <row r="23" spans="2:7" x14ac:dyDescent="0.2">
      <c r="B23" s="6" t="s">
        <v>43</v>
      </c>
      <c r="C23" s="179">
        <f>'table 1 &amp; 2'!C64/'table 1 &amp; 2'!C22*1000</f>
        <v>26.408114441607143</v>
      </c>
      <c r="D23" s="179">
        <f>'table 1 &amp; 2'!D64/'table 1 &amp; 2'!D22*1000</f>
        <v>22.508204107566794</v>
      </c>
      <c r="E23" s="180">
        <f>IF('table 1 &amp; 2'!F22="","N/A",'table 1 &amp; 2'!F64/'table 1 &amp; 2'!F22*1000)</f>
        <v>23.791564968146051</v>
      </c>
      <c r="F23" s="179">
        <f>IF('table 1 &amp; 2'!G22="","N/A",'table 1 &amp; 2'!G64/'table 1 &amp; 2'!G22*1000)</f>
        <v>23.761893172009927</v>
      </c>
      <c r="G23" s="125"/>
    </row>
    <row r="24" spans="2:7" x14ac:dyDescent="0.2">
      <c r="B24" s="8" t="s">
        <v>44</v>
      </c>
      <c r="C24" s="65">
        <f>'table 1 &amp; 2'!C65/'table 1 &amp; 2'!C23*1000</f>
        <v>22.362967695972198</v>
      </c>
      <c r="D24" s="65">
        <f>'table 1 &amp; 2'!D65/'table 1 &amp; 2'!D23*1000</f>
        <v>25.166635179109594</v>
      </c>
      <c r="E24" s="64" t="str">
        <f>IF('table 1 &amp; 2'!F23="","N/A",'table 1 &amp; 2'!F65/'table 1 &amp; 2'!F23*1000)</f>
        <v>N/A</v>
      </c>
      <c r="F24" s="65" t="str">
        <f>IF('table 1 &amp; 2'!G23="","N/A",'table 1 &amp; 2'!G65/'table 1 &amp; 2'!G23*1000)</f>
        <v>N/A</v>
      </c>
      <c r="G24" s="125"/>
    </row>
    <row r="25" spans="2:7" x14ac:dyDescent="0.2">
      <c r="B25" s="6" t="s">
        <v>45</v>
      </c>
      <c r="C25" s="179">
        <f>'table 1 &amp; 2'!C66/'table 1 &amp; 2'!C24*1000</f>
        <v>23.736999987425982</v>
      </c>
      <c r="D25" s="179">
        <f>'table 1 &amp; 2'!D66/'table 1 &amp; 2'!D24*1000</f>
        <v>29.103108428988183</v>
      </c>
      <c r="E25" s="180" t="str">
        <f>IF('table 1 &amp; 2'!F24="","N/A",'table 1 &amp; 2'!F66/'table 1 &amp; 2'!F24*1000)</f>
        <v>N/A</v>
      </c>
      <c r="F25" s="179" t="str">
        <f>IF('table 1 &amp; 2'!G24="","N/A",'table 1 &amp; 2'!G66/'table 1 &amp; 2'!G24*1000)</f>
        <v>N/A</v>
      </c>
      <c r="G25" s="125"/>
    </row>
    <row r="26" spans="2:7" x14ac:dyDescent="0.2">
      <c r="B26" s="8" t="s">
        <v>46</v>
      </c>
      <c r="C26" s="65">
        <f>'table 1 &amp; 2'!C67/'table 1 &amp; 2'!C25*1000</f>
        <v>23.999292274064778</v>
      </c>
      <c r="D26" s="65">
        <f>'table 1 &amp; 2'!D67/'table 1 &amp; 2'!D25*1000</f>
        <v>24.172249384100642</v>
      </c>
      <c r="E26" s="64" t="str">
        <f>IF('table 1 &amp; 2'!F25="","N/A",'table 1 &amp; 2'!F67/'table 1 &amp; 2'!F25*1000)</f>
        <v>N/A</v>
      </c>
      <c r="F26" s="65" t="str">
        <f>IF('table 1 &amp; 2'!G25="","N/A",'table 1 &amp; 2'!G67/'table 1 &amp; 2'!G25*1000)</f>
        <v>N/A</v>
      </c>
      <c r="G26" s="125"/>
    </row>
    <row r="27" spans="2:7" x14ac:dyDescent="0.2">
      <c r="B27" s="6" t="s">
        <v>47</v>
      </c>
      <c r="C27" s="179">
        <f>'table 1 &amp; 2'!C68/'table 1 &amp; 2'!C26*1000</f>
        <v>32.335328738530031</v>
      </c>
      <c r="D27" s="179">
        <f>'table 1 &amp; 2'!D68/'table 1 &amp; 2'!D26*1000</f>
        <v>33.007302694852022</v>
      </c>
      <c r="E27" s="180">
        <f>IF('table 1 &amp; 2'!F26="","N/A",'table 1 &amp; 2'!F68/'table 1 &amp; 2'!F26*1000)</f>
        <v>31.511152189348934</v>
      </c>
      <c r="F27" s="179">
        <f>IF('table 1 &amp; 2'!G26="","N/A",'table 1 &amp; 2'!G68/'table 1 &amp; 2'!G26*1000)</f>
        <v>31.51162160430864</v>
      </c>
      <c r="G27" s="125"/>
    </row>
    <row r="28" spans="2:7" x14ac:dyDescent="0.2">
      <c r="B28" s="8" t="s">
        <v>48</v>
      </c>
      <c r="C28" s="65">
        <f>'table 1 &amp; 2'!C69/'table 1 &amp; 2'!C27*1000</f>
        <v>21.269486398302927</v>
      </c>
      <c r="D28" s="65">
        <f>'table 1 &amp; 2'!D69/'table 1 &amp; 2'!D27*1000</f>
        <v>25.029536871469091</v>
      </c>
      <c r="E28" s="64" t="str">
        <f>IF('table 1 &amp; 2'!F27="","N/A",'table 1 &amp; 2'!F69/'table 1 &amp; 2'!F27*1000)</f>
        <v>N/A</v>
      </c>
      <c r="F28" s="65" t="str">
        <f>IF('table 1 &amp; 2'!G27="","N/A",'table 1 &amp; 2'!G69/'table 1 &amp; 2'!G27*1000)</f>
        <v>N/A</v>
      </c>
      <c r="G28" s="125"/>
    </row>
    <row r="29" spans="2:7" x14ac:dyDescent="0.2">
      <c r="B29" s="6" t="s">
        <v>49</v>
      </c>
      <c r="C29" s="179">
        <f>'table 1 &amp; 2'!C70/'table 1 &amp; 2'!C28*1000</f>
        <v>22.226572819139911</v>
      </c>
      <c r="D29" s="179">
        <f>'table 1 &amp; 2'!D70/'table 1 &amp; 2'!D28*1000</f>
        <v>27.872808582956115</v>
      </c>
      <c r="E29" s="180" t="str">
        <f>IF('table 1 &amp; 2'!F28="","N/A",'table 1 &amp; 2'!F70/'table 1 &amp; 2'!F28*1000)</f>
        <v>N/A</v>
      </c>
      <c r="F29" s="179" t="str">
        <f>IF('table 1 &amp; 2'!G28="","N/A",'table 1 &amp; 2'!G70/'table 1 &amp; 2'!G28*1000)</f>
        <v>N/A</v>
      </c>
      <c r="G29" s="125"/>
    </row>
    <row r="30" spans="2:7" x14ac:dyDescent="0.2">
      <c r="B30" s="8" t="s">
        <v>50</v>
      </c>
      <c r="C30" s="65">
        <f>'table 1 &amp; 2'!C71/'table 1 &amp; 2'!C29*1000</f>
        <v>26.130611949149845</v>
      </c>
      <c r="D30" s="65">
        <f>'table 1 &amp; 2'!D71/'table 1 &amp; 2'!D29*1000</f>
        <v>25.614549391758761</v>
      </c>
      <c r="E30" s="64">
        <f>IF('table 1 &amp; 2'!F29="","N/A",'table 1 &amp; 2'!F71/'table 1 &amp; 2'!F29*1000)</f>
        <v>22.411003720458712</v>
      </c>
      <c r="F30" s="65">
        <f>IF('table 1 &amp; 2'!G29="","N/A",'table 1 &amp; 2'!G71/'table 1 &amp; 2'!G29*1000)</f>
        <v>22.410964939884078</v>
      </c>
      <c r="G30" s="125"/>
    </row>
    <row r="31" spans="2:7" x14ac:dyDescent="0.2">
      <c r="B31" s="6" t="s">
        <v>51</v>
      </c>
      <c r="C31" s="179">
        <f>'table 1 &amp; 2'!C72/'table 1 &amp; 2'!C30*1000</f>
        <v>26.306429306826629</v>
      </c>
      <c r="D31" s="179">
        <f>'table 1 &amp; 2'!D72/'table 1 &amp; 2'!D30*1000</f>
        <v>30.751943237189611</v>
      </c>
      <c r="E31" s="180">
        <f>IF('table 1 &amp; 2'!F30="","N/A",'table 1 &amp; 2'!F72/'table 1 &amp; 2'!F30*1000)</f>
        <v>24.788999987763447</v>
      </c>
      <c r="F31" s="179">
        <f>IF('table 1 &amp; 2'!G30="","N/A",'table 1 &amp; 2'!G72/'table 1 &amp; 2'!G30*1000)</f>
        <v>24.789000336095626</v>
      </c>
      <c r="G31" s="125"/>
    </row>
    <row r="32" spans="2:7" x14ac:dyDescent="0.2">
      <c r="B32" s="8" t="s">
        <v>52</v>
      </c>
      <c r="C32" s="65">
        <f>'table 1 &amp; 2'!C73/'table 1 &amp; 2'!C31*1000</f>
        <v>23.316529257878042</v>
      </c>
      <c r="D32" s="65">
        <f>'table 1 &amp; 2'!D73/'table 1 &amp; 2'!D31*1000</f>
        <v>22.00100320935654</v>
      </c>
      <c r="E32" s="64">
        <f>IF('table 1 &amp; 2'!F31="","N/A",'table 1 &amp; 2'!F73/'table 1 &amp; 2'!F31*1000)</f>
        <v>20.70083897001264</v>
      </c>
      <c r="F32" s="65">
        <f>IF('table 1 &amp; 2'!G31="","N/A",'table 1 &amp; 2'!G73/'table 1 &amp; 2'!G31*1000)</f>
        <v>20.723008530221197</v>
      </c>
      <c r="G32" s="125"/>
    </row>
    <row r="33" spans="2:8" x14ac:dyDescent="0.2">
      <c r="B33" s="6" t="s">
        <v>53</v>
      </c>
      <c r="C33" s="179">
        <f>'table 1 &amp; 2'!C74/'table 1 &amp; 2'!C32*1000</f>
        <v>24.180292383095775</v>
      </c>
      <c r="D33" s="179">
        <f>'table 1 &amp; 2'!D74/'table 1 &amp; 2'!D32*1000</f>
        <v>23.847924878395073</v>
      </c>
      <c r="E33" s="180">
        <f>IF('table 1 &amp; 2'!F32="","N/A",'table 1 &amp; 2'!F74/'table 1 &amp; 2'!F32*1000)</f>
        <v>27.126610587705279</v>
      </c>
      <c r="F33" s="179">
        <f>IF('table 1 &amp; 2'!G32="","N/A",'table 1 &amp; 2'!G74/'table 1 &amp; 2'!G32*1000)</f>
        <v>27.120144786177939</v>
      </c>
      <c r="G33" s="125"/>
    </row>
    <row r="34" spans="2:8" x14ac:dyDescent="0.2">
      <c r="B34" s="8" t="s">
        <v>54</v>
      </c>
      <c r="C34" s="65">
        <f>'table 1 &amp; 2'!C75/'table 1 &amp; 2'!C33*1000</f>
        <v>22.18124040787233</v>
      </c>
      <c r="D34" s="65">
        <f>'table 1 &amp; 2'!D75/'table 1 &amp; 2'!D33*1000</f>
        <v>29.279706301267737</v>
      </c>
      <c r="E34" s="64" t="str">
        <f>IF('table 1 &amp; 2'!F33="","N/A",'table 1 &amp; 2'!F75/'table 1 &amp; 2'!F33*1000)</f>
        <v>N/A</v>
      </c>
      <c r="F34" s="65" t="str">
        <f>IF('table 1 &amp; 2'!G33="","N/A",'table 1 &amp; 2'!G75/'table 1 &amp; 2'!G33*1000)</f>
        <v>N/A</v>
      </c>
      <c r="G34" s="125"/>
    </row>
    <row r="35" spans="2:8" x14ac:dyDescent="0.2">
      <c r="B35" s="6" t="s">
        <v>55</v>
      </c>
      <c r="C35" s="179">
        <f>'table 1 &amp; 2'!C76/'table 1 &amp; 2'!C34*1000</f>
        <v>32.635299884554577</v>
      </c>
      <c r="D35" s="179">
        <f>'table 1 &amp; 2'!D76/'table 1 &amp; 2'!D34*1000</f>
        <v>30.438846609716226</v>
      </c>
      <c r="E35" s="180">
        <f>IF('table 1 &amp; 2'!F34="","N/A",'table 1 &amp; 2'!F76/'table 1 &amp; 2'!F34*1000)</f>
        <v>26.63800010607418</v>
      </c>
      <c r="F35" s="179">
        <f>IF('table 1 &amp; 2'!G34="","N/A",'table 1 &amp; 2'!G76/'table 1 &amp; 2'!G34*1000)</f>
        <v>26.637999910046133</v>
      </c>
      <c r="G35" s="125"/>
    </row>
    <row r="36" spans="2:8" x14ac:dyDescent="0.2">
      <c r="B36" s="8" t="s">
        <v>56</v>
      </c>
      <c r="C36" s="65">
        <f>'table 1 &amp; 2'!C77/'table 1 &amp; 2'!C35*1000</f>
        <v>19.027500461789391</v>
      </c>
      <c r="D36" s="65">
        <f>'table 1 &amp; 2'!D77/'table 1 &amp; 2'!D35*1000</f>
        <v>27.690085104082257</v>
      </c>
      <c r="E36" s="64" t="str">
        <f>IF('table 1 &amp; 2'!F35="","N/A",'table 1 &amp; 2'!F77/'table 1 &amp; 2'!F35*1000)</f>
        <v>N/A</v>
      </c>
      <c r="F36" s="65" t="str">
        <f>IF('table 1 &amp; 2'!G35="","N/A",'table 1 &amp; 2'!G77/'table 1 &amp; 2'!G35*1000)</f>
        <v>N/A</v>
      </c>
      <c r="G36" s="125"/>
    </row>
    <row r="37" spans="2:8" x14ac:dyDescent="0.2">
      <c r="B37" s="6" t="s">
        <v>57</v>
      </c>
      <c r="C37" s="179">
        <f>'table 1 &amp; 2'!C78/'table 1 &amp; 2'!C36*1000</f>
        <v>27.289808579787159</v>
      </c>
      <c r="D37" s="179">
        <f>'table 1 &amp; 2'!D78/'table 1 &amp; 2'!D36*1000</f>
        <v>28.200532623359624</v>
      </c>
      <c r="E37" s="180" t="str">
        <f>IF('table 1 &amp; 2'!F36="","N/A",'table 1 &amp; 2'!F78/'table 1 &amp; 2'!F36*1000)</f>
        <v>N/A</v>
      </c>
      <c r="F37" s="179" t="str">
        <f>IF('table 1 &amp; 2'!G36="","N/A",'table 1 &amp; 2'!G78/'table 1 &amp; 2'!G36*1000)</f>
        <v>N/A</v>
      </c>
      <c r="G37" s="125"/>
    </row>
    <row r="38" spans="2:8" x14ac:dyDescent="0.2">
      <c r="B38" s="8" t="s">
        <v>58</v>
      </c>
      <c r="C38" s="65">
        <f>'table 1 &amp; 2'!C79/'table 1 &amp; 2'!C37*1000</f>
        <v>32.251307143033536</v>
      </c>
      <c r="D38" s="65">
        <f>'table 1 &amp; 2'!D79/'table 1 &amp; 2'!D37*1000</f>
        <v>32.705938308093678</v>
      </c>
      <c r="E38" s="64" t="str">
        <f>IF('table 1 &amp; 2'!F37="","N/A",'table 1 &amp; 2'!F79/'table 1 &amp; 2'!F37*1000)</f>
        <v>N/A</v>
      </c>
      <c r="F38" s="65" t="str">
        <f>IF('table 1 &amp; 2'!G37="","N/A",'table 1 &amp; 2'!G79/'table 1 &amp; 2'!G37*1000)</f>
        <v>N/A</v>
      </c>
      <c r="G38" s="125"/>
    </row>
    <row r="39" spans="2:8" x14ac:dyDescent="0.2">
      <c r="B39" s="6" t="s">
        <v>59</v>
      </c>
      <c r="C39" s="179">
        <f>'table 1 &amp; 2'!C80/'table 1 &amp; 2'!C38*1000</f>
        <v>17.476694098826275</v>
      </c>
      <c r="D39" s="179">
        <f>'table 1 &amp; 2'!D80/'table 1 &amp; 2'!D38*1000</f>
        <v>26.218026687190282</v>
      </c>
      <c r="E39" s="180" t="str">
        <f>IF('table 1 &amp; 2'!F38="","N/A",'table 1 &amp; 2'!F80/'table 1 &amp; 2'!F38*1000)</f>
        <v>N/A</v>
      </c>
      <c r="F39" s="179" t="str">
        <f>IF('table 1 &amp; 2'!G38="","N/A",'table 1 &amp; 2'!G80/'table 1 &amp; 2'!G38*1000)</f>
        <v>N/A</v>
      </c>
      <c r="G39" s="125"/>
    </row>
    <row r="40" spans="2:8" x14ac:dyDescent="0.2">
      <c r="B40" s="8" t="s">
        <v>60</v>
      </c>
      <c r="C40" s="65">
        <f>'table 1 &amp; 2'!C81/'table 1 &amp; 2'!C39*1000</f>
        <v>24.03488466520141</v>
      </c>
      <c r="D40" s="65">
        <f>'table 1 &amp; 2'!D81/'table 1 &amp; 2'!D39*1000</f>
        <v>22.076345359154796</v>
      </c>
      <c r="E40" s="64" t="str">
        <f>IF('table 1 &amp; 2'!F39="","N/A",'table 1 &amp; 2'!F81/'table 1 &amp; 2'!F39*1000)</f>
        <v>N/A</v>
      </c>
      <c r="F40" s="65" t="str">
        <f>IF('table 1 &amp; 2'!G39="","N/A",'table 1 &amp; 2'!G81/'table 1 &amp; 2'!G39*1000)</f>
        <v>N/A</v>
      </c>
      <c r="G40" s="125"/>
    </row>
    <row r="41" spans="2:8" x14ac:dyDescent="0.2">
      <c r="B41" s="6" t="s">
        <v>61</v>
      </c>
      <c r="C41" s="179">
        <f>'table 1 &amp; 2'!C82/'table 1 &amp; 2'!C40*1000</f>
        <v>26.059971084423871</v>
      </c>
      <c r="D41" s="179">
        <f>'table 1 &amp; 2'!D82/'table 1 &amp; 2'!D40*1000</f>
        <v>25.827413537712307</v>
      </c>
      <c r="E41" s="180">
        <f>IF('table 1 &amp; 2'!F40="","N/A",'table 1 &amp; 2'!F82/'table 1 &amp; 2'!F40*1000)</f>
        <v>25.058998581870007</v>
      </c>
      <c r="F41" s="179">
        <f>IF('table 1 &amp; 2'!G40="","N/A",'table 1 &amp; 2'!G82/'table 1 &amp; 2'!G40*1000)</f>
        <v>25.059001345813773</v>
      </c>
      <c r="G41" s="125"/>
    </row>
    <row r="42" spans="2:8" x14ac:dyDescent="0.2">
      <c r="B42" s="8" t="s">
        <v>62</v>
      </c>
      <c r="C42" s="65">
        <f>'table 1 &amp; 2'!C83/'table 1 &amp; 2'!C41*1000</f>
        <v>31.334424172227308</v>
      </c>
      <c r="D42" s="65">
        <f>'table 1 &amp; 2'!D83/'table 1 &amp; 2'!D41*1000</f>
        <v>34.459066314378227</v>
      </c>
      <c r="E42" s="64" t="str">
        <f>IF('table 1 &amp; 2'!F41="","N/A",'table 1 &amp; 2'!F83/'table 1 &amp; 2'!F41*1000)</f>
        <v>N/A</v>
      </c>
      <c r="F42" s="65" t="str">
        <f>IF('table 1 &amp; 2'!G41="","N/A",'table 1 &amp; 2'!G83/'table 1 &amp; 2'!G41*1000)</f>
        <v>N/A</v>
      </c>
      <c r="G42" s="125"/>
    </row>
    <row r="43" spans="2:8" x14ac:dyDescent="0.2">
      <c r="B43" s="6" t="s">
        <v>439</v>
      </c>
      <c r="C43" s="179">
        <f>'table 1 &amp; 2'!C84/'table 1 &amp; 2'!C42*1000</f>
        <v>30.351764586680677</v>
      </c>
      <c r="D43" s="179">
        <f>'table 1 &amp; 2'!D84/'table 1 &amp; 2'!D42*1000</f>
        <v>29.337028112056391</v>
      </c>
      <c r="E43" s="180">
        <f>IF('table 1 &amp; 2'!F42="","N/A",'table 1 &amp; 2'!F84/'table 1 &amp; 2'!F42*1000)</f>
        <v>22.850591379716114</v>
      </c>
      <c r="F43" s="179">
        <f>IF('table 1 &amp; 2'!G42="","N/A",'table 1 &amp; 2'!G84/'table 1 &amp; 2'!G42*1000)</f>
        <v>22.854859289282711</v>
      </c>
      <c r="G43" s="125"/>
    </row>
    <row r="44" spans="2:8" ht="13.5" thickBot="1" x14ac:dyDescent="0.25">
      <c r="B44" s="439" t="s">
        <v>440</v>
      </c>
      <c r="C44" s="440">
        <f>MEDIAN(C10:C42)</f>
        <v>24.180292383095775</v>
      </c>
      <c r="D44" s="440">
        <f t="shared" ref="D44:F44" si="0">MEDIAN(D10:D42)</f>
        <v>26.218026687190282</v>
      </c>
      <c r="E44" s="441">
        <f t="shared" si="0"/>
        <v>23.945222921482042</v>
      </c>
      <c r="F44" s="440">
        <f t="shared" si="0"/>
        <v>24.100608873224274</v>
      </c>
      <c r="G44" s="125"/>
    </row>
    <row r="45" spans="2:8" ht="15.6" customHeight="1" x14ac:dyDescent="0.2">
      <c r="B45" s="644" t="s">
        <v>420</v>
      </c>
      <c r="C45" s="644"/>
      <c r="D45" s="644"/>
      <c r="E45" s="644"/>
      <c r="F45" s="644"/>
      <c r="G45" s="645"/>
    </row>
    <row r="46" spans="2:8" ht="15" customHeight="1" x14ac:dyDescent="0.2">
      <c r="B46" s="50" t="s">
        <v>349</v>
      </c>
      <c r="C46" s="6"/>
      <c r="D46" s="6"/>
      <c r="E46" s="6"/>
      <c r="F46" s="6"/>
      <c r="G46" s="6"/>
      <c r="H46" s="30"/>
    </row>
    <row r="47" spans="2:8" ht="13.9" customHeight="1" x14ac:dyDescent="0.2">
      <c r="B47" s="320" t="s">
        <v>472</v>
      </c>
      <c r="C47" s="6"/>
      <c r="D47" s="6"/>
      <c r="E47" s="6"/>
      <c r="F47" s="6"/>
      <c r="G47" s="6"/>
    </row>
    <row r="48" spans="2:8" ht="13.9" customHeight="1" x14ac:dyDescent="0.2">
      <c r="B48" s="321" t="s">
        <v>571</v>
      </c>
      <c r="C48" s="6"/>
      <c r="D48" s="6"/>
      <c r="E48" s="6"/>
      <c r="F48" s="6"/>
      <c r="G48" s="6"/>
    </row>
    <row r="49" spans="2:15" ht="9.75" customHeight="1" x14ac:dyDescent="0.2">
      <c r="B49" s="321"/>
      <c r="C49" s="6"/>
      <c r="D49" s="6"/>
      <c r="E49" s="6"/>
      <c r="F49" s="6"/>
      <c r="G49" s="6"/>
    </row>
    <row r="50" spans="2:15" ht="15.75" customHeight="1" x14ac:dyDescent="0.25">
      <c r="B50" s="3" t="s">
        <v>408</v>
      </c>
      <c r="C50" s="6"/>
      <c r="D50" s="6"/>
      <c r="E50" s="6"/>
      <c r="F50" s="6"/>
      <c r="G50" s="6"/>
      <c r="I50" s="525" t="s">
        <v>548</v>
      </c>
      <c r="J50" s="424"/>
      <c r="K50" s="424"/>
      <c r="L50" s="424"/>
      <c r="M50" s="424"/>
      <c r="N50" s="424"/>
      <c r="O50" s="424"/>
    </row>
    <row r="51" spans="2:15" ht="18.600000000000001" customHeight="1" x14ac:dyDescent="0.25">
      <c r="B51" s="3" t="s">
        <v>487</v>
      </c>
      <c r="C51" s="6"/>
      <c r="D51" s="6"/>
      <c r="E51" s="3" t="str">
        <f>D4</f>
        <v>2025 Tax Year</v>
      </c>
      <c r="F51" s="6"/>
      <c r="G51" s="6"/>
    </row>
    <row r="52" spans="2:15" x14ac:dyDescent="0.2">
      <c r="B52" s="6"/>
      <c r="C52" s="6"/>
      <c r="D52" s="6"/>
      <c r="E52" s="81" t="s">
        <v>318</v>
      </c>
      <c r="F52" s="6"/>
      <c r="G52" s="81" t="s">
        <v>317</v>
      </c>
    </row>
    <row r="53" spans="2:15" ht="13.5" thickBot="1" x14ac:dyDescent="0.25">
      <c r="B53" s="23" t="s">
        <v>27</v>
      </c>
      <c r="C53" s="24" t="s">
        <v>9</v>
      </c>
      <c r="D53" s="24" t="s">
        <v>28</v>
      </c>
      <c r="E53" s="25" t="s">
        <v>30</v>
      </c>
      <c r="F53" s="24" t="s">
        <v>10</v>
      </c>
      <c r="G53" s="25" t="s">
        <v>316</v>
      </c>
    </row>
    <row r="54" spans="2:15" x14ac:dyDescent="0.2">
      <c r="B54" s="8" t="s">
        <v>31</v>
      </c>
      <c r="C54" s="65">
        <f>+('table 1 &amp; 2'!C51/('table 1 &amp; 2'!C9*3))*100</f>
        <v>1.3667897770196904</v>
      </c>
      <c r="D54" s="65">
        <f>+('table 1 &amp; 2'!D51/('table 1 &amp; 2'!D9*3))*100</f>
        <v>1.4901603339294534</v>
      </c>
      <c r="E54" s="64" t="s">
        <v>69</v>
      </c>
      <c r="F54" s="65" t="s">
        <v>69</v>
      </c>
      <c r="G54" s="64">
        <f>+('table 1 &amp; 2'!B51/('table 1 &amp; 2'!B9*3))*100</f>
        <v>1.3949969601018222</v>
      </c>
    </row>
    <row r="55" spans="2:15" x14ac:dyDescent="0.2">
      <c r="B55" s="6" t="s">
        <v>32</v>
      </c>
      <c r="C55" s="179">
        <f>+('table 1 &amp; 2'!C52/('table 1 &amp; 2'!C10*3))*100</f>
        <v>0.57600525550123516</v>
      </c>
      <c r="D55" s="179">
        <f>+('table 1 &amp; 2'!D52/('table 1 &amp; 2'!D10*3))*100</f>
        <v>0.52299412343070562</v>
      </c>
      <c r="E55" s="180" t="s">
        <v>69</v>
      </c>
      <c r="F55" s="179" t="s">
        <v>69</v>
      </c>
      <c r="G55" s="180">
        <f>+('table 1 &amp; 2'!B52/('table 1 &amp; 2'!B10*3))*100</f>
        <v>0.54390097603298748</v>
      </c>
    </row>
    <row r="56" spans="2:15" x14ac:dyDescent="0.2">
      <c r="B56" s="8" t="s">
        <v>33</v>
      </c>
      <c r="C56" s="65">
        <f>+('table 1 &amp; 2'!C53/('table 1 &amp; 2'!C11*3))*100</f>
        <v>0.81386824156519788</v>
      </c>
      <c r="D56" s="65">
        <f>+('table 1 &amp; 2'!D53/('table 1 &amp; 2'!D11*3))*100</f>
        <v>0.84328880953567242</v>
      </c>
      <c r="E56" s="64">
        <f>+('table 1 &amp; 2'!F53/('table 1 &amp; 2'!F11*3))*100</f>
        <v>0.6867537553925348</v>
      </c>
      <c r="F56" s="65">
        <f>+('table 1 &amp; 2'!G53/('table 1 &amp; 2'!G11*3))*100</f>
        <v>0.68686392648153138</v>
      </c>
      <c r="G56" s="64">
        <f>+('table 1 &amp; 2'!B53/('table 1 &amp; 2'!B11*3))*100</f>
        <v>0.81885349970983423</v>
      </c>
    </row>
    <row r="57" spans="2:15" x14ac:dyDescent="0.2">
      <c r="B57" s="6" t="s">
        <v>34</v>
      </c>
      <c r="C57" s="179">
        <f>+('table 1 &amp; 2'!C54/('table 1 &amp; 2'!C12*3))*100</f>
        <v>1.0398977794052731</v>
      </c>
      <c r="D57" s="179">
        <f>+('table 1 &amp; 2'!D54/('table 1 &amp; 2'!D12*3))*100</f>
        <v>1.1204362901419649</v>
      </c>
      <c r="E57" s="180" t="s">
        <v>69</v>
      </c>
      <c r="F57" s="179" t="s">
        <v>69</v>
      </c>
      <c r="G57" s="180">
        <f>+('table 1 &amp; 2'!B54/('table 1 &amp; 2'!B12*3))*100</f>
        <v>1.0849424083662991</v>
      </c>
    </row>
    <row r="58" spans="2:15" x14ac:dyDescent="0.2">
      <c r="B58" s="8" t="s">
        <v>35</v>
      </c>
      <c r="C58" s="65">
        <f>+('table 1 &amp; 2'!C55/('table 1 &amp; 2'!C13*3))*100</f>
        <v>0.91306378195846105</v>
      </c>
      <c r="D58" s="65">
        <f>+('table 1 &amp; 2'!D55/('table 1 &amp; 2'!D13*3))*100</f>
        <v>0.98208000986779631</v>
      </c>
      <c r="E58" s="64">
        <f>+('table 1 &amp; 2'!F55/('table 1 &amp; 2'!F13*3))*100</f>
        <v>0.79817409738273459</v>
      </c>
      <c r="F58" s="65">
        <f>+('table 1 &amp; 2'!G55/('table 1 &amp; 2'!G13*3))*100</f>
        <v>0.79817409911455572</v>
      </c>
      <c r="G58" s="64">
        <f>+('table 1 &amp; 2'!B55/('table 1 &amp; 2'!B13*3))*100</f>
        <v>0.93133505501630243</v>
      </c>
    </row>
    <row r="59" spans="2:15" x14ac:dyDescent="0.2">
      <c r="B59" s="6" t="s">
        <v>36</v>
      </c>
      <c r="C59" s="179">
        <f>+('table 1 &amp; 2'!C56/('table 1 &amp; 2'!C14*3))*100</f>
        <v>0.81596703528340842</v>
      </c>
      <c r="D59" s="179">
        <f>+('table 1 &amp; 2'!D56/('table 1 &amp; 2'!D14*3))*100</f>
        <v>0.67415740509928401</v>
      </c>
      <c r="E59" s="180" t="s">
        <v>69</v>
      </c>
      <c r="F59" s="179" t="s">
        <v>69</v>
      </c>
      <c r="G59" s="180">
        <f>+('table 1 &amp; 2'!B56/('table 1 &amp; 2'!B14*3))*100</f>
        <v>0.75970698263340231</v>
      </c>
    </row>
    <row r="60" spans="2:15" x14ac:dyDescent="0.2">
      <c r="B60" s="8" t="s">
        <v>67</v>
      </c>
      <c r="C60" s="65">
        <f>+('table 1 &amp; 2'!C57/('table 1 &amp; 2'!C15*3))*100</f>
        <v>0.65167773404870921</v>
      </c>
      <c r="D60" s="65">
        <f>+('table 1 &amp; 2'!D57/('table 1 &amp; 2'!D15*3))*100</f>
        <v>0.62908278262221773</v>
      </c>
      <c r="E60" s="64" t="s">
        <v>69</v>
      </c>
      <c r="F60" s="65" t="s">
        <v>69</v>
      </c>
      <c r="G60" s="64">
        <f>+('table 1 &amp; 2'!B57/('table 1 &amp; 2'!B15*3))*100</f>
        <v>0.63344533925803348</v>
      </c>
    </row>
    <row r="61" spans="2:15" x14ac:dyDescent="0.2">
      <c r="B61" s="6" t="s">
        <v>37</v>
      </c>
      <c r="C61" s="179">
        <f>+('table 1 &amp; 2'!C58/('table 1 &amp; 2'!C16*3))*100</f>
        <v>0.97024994668232989</v>
      </c>
      <c r="D61" s="179">
        <f>+('table 1 &amp; 2'!D58/('table 1 &amp; 2'!D16*3))*100</f>
        <v>1.0822984044635502</v>
      </c>
      <c r="E61" s="180" t="s">
        <v>69</v>
      </c>
      <c r="F61" s="179" t="s">
        <v>69</v>
      </c>
      <c r="G61" s="180">
        <f>+('table 1 &amp; 2'!B58/('table 1 &amp; 2'!B16*3))*100</f>
        <v>0.99964443777943945</v>
      </c>
    </row>
    <row r="62" spans="2:15" x14ac:dyDescent="0.2">
      <c r="B62" s="8" t="s">
        <v>38</v>
      </c>
      <c r="C62" s="65">
        <f>+('table 1 &amp; 2'!C59/('table 1 &amp; 2'!C17*3))*100</f>
        <v>0.75175591104663952</v>
      </c>
      <c r="D62" s="65">
        <f>+('table 1 &amp; 2'!D59/('table 1 &amp; 2'!D17*3))*100</f>
        <v>0.67598260185597769</v>
      </c>
      <c r="E62" s="64">
        <f>+('table 1 &amp; 2'!F59/('table 1 &amp; 2'!F17*3))*100</f>
        <v>0.71311725236835088</v>
      </c>
      <c r="F62" s="65">
        <f>+('table 1 &amp; 2'!G59/('table 1 &amp; 2'!G17*3))*100</f>
        <v>0.7136002448429305</v>
      </c>
      <c r="G62" s="64">
        <f>+('table 1 &amp; 2'!B59/('table 1 &amp; 2'!B17*3))*100</f>
        <v>0.70825330513604678</v>
      </c>
    </row>
    <row r="63" spans="2:15" x14ac:dyDescent="0.2">
      <c r="B63" s="6" t="s">
        <v>39</v>
      </c>
      <c r="C63" s="179">
        <f>+('table 1 &amp; 2'!C60/('table 1 &amp; 2'!C18*3))*100</f>
        <v>0.70891650507809778</v>
      </c>
      <c r="D63" s="179">
        <f>+('table 1 &amp; 2'!D60/('table 1 &amp; 2'!D18*3))*100</f>
        <v>0.87918164002895094</v>
      </c>
      <c r="E63" s="180">
        <f>+('table 1 &amp; 2'!F60/('table 1 &amp; 2'!F18*3))*100</f>
        <v>0.7464293532357904</v>
      </c>
      <c r="F63" s="179" t="s">
        <v>69</v>
      </c>
      <c r="G63" s="180">
        <f>+('table 1 &amp; 2'!B60/('table 1 &amp; 2'!B18*3))*100</f>
        <v>0.76099908340313738</v>
      </c>
    </row>
    <row r="64" spans="2:15" x14ac:dyDescent="0.2">
      <c r="B64" s="8" t="s">
        <v>40</v>
      </c>
      <c r="C64" s="65">
        <f>+('table 1 &amp; 2'!C61/('table 1 &amp; 2'!C19*3))*100</f>
        <v>0.9091458520836414</v>
      </c>
      <c r="D64" s="65">
        <f>+('table 1 &amp; 2'!D61/('table 1 &amp; 2'!D19*3))*100</f>
        <v>0.89687700849306629</v>
      </c>
      <c r="E64" s="316" t="s">
        <v>69</v>
      </c>
      <c r="F64" s="317" t="s">
        <v>69</v>
      </c>
      <c r="G64" s="64">
        <f>+('table 1 &amp; 2'!B61/('table 1 &amp; 2'!B19*3))*100</f>
        <v>0.89952201706467816</v>
      </c>
    </row>
    <row r="65" spans="2:10" x14ac:dyDescent="0.2">
      <c r="B65" s="6" t="s">
        <v>41</v>
      </c>
      <c r="C65" s="179">
        <f>+('table 1 &amp; 2'!C62/('table 1 &amp; 2'!C20*3))*100</f>
        <v>0.65563925119147159</v>
      </c>
      <c r="D65" s="179">
        <f>+('table 1 &amp; 2'!D62/('table 1 &amp; 2'!D20*3))*100</f>
        <v>0.78647529930221083</v>
      </c>
      <c r="E65" s="180">
        <f>+('table 1 &amp; 2'!F62/('table 1 &amp; 2'!F20*3))*100</f>
        <v>0.809391633150783</v>
      </c>
      <c r="F65" s="179">
        <f>+('table 1 &amp; 2'!G62/('table 1 &amp; 2'!G20*3))*100</f>
        <v>0.80853315910039569</v>
      </c>
      <c r="G65" s="180">
        <f>+('table 1 &amp; 2'!B62/('table 1 &amp; 2'!B20*3))*100</f>
        <v>0.77959858297886597</v>
      </c>
    </row>
    <row r="66" spans="2:10" x14ac:dyDescent="0.2">
      <c r="B66" s="8" t="s">
        <v>42</v>
      </c>
      <c r="C66" s="65">
        <f>+('table 1 &amp; 2'!C63/('table 1 &amp; 2'!C21*3))*100</f>
        <v>0.67676164296990038</v>
      </c>
      <c r="D66" s="65">
        <f>+('table 1 &amp; 2'!D63/('table 1 &amp; 2'!D21*3))*100</f>
        <v>0.72018621549241846</v>
      </c>
      <c r="E66" s="64" t="s">
        <v>69</v>
      </c>
      <c r="F66" s="65" t="s">
        <v>69</v>
      </c>
      <c r="G66" s="64">
        <f>+('table 1 &amp; 2'!B63/('table 1 &amp; 2'!B21*3))*100</f>
        <v>0.71333084235948785</v>
      </c>
    </row>
    <row r="67" spans="2:10" x14ac:dyDescent="0.2">
      <c r="B67" s="6" t="s">
        <v>43</v>
      </c>
      <c r="C67" s="179">
        <f>+('table 1 &amp; 2'!C64/('table 1 &amp; 2'!C22*3))*100</f>
        <v>0.88027048138690478</v>
      </c>
      <c r="D67" s="179">
        <f>+('table 1 &amp; 2'!D64/('table 1 &amp; 2'!D22*3))*100</f>
        <v>0.75027347025222635</v>
      </c>
      <c r="E67" s="180">
        <f>+('table 1 &amp; 2'!F64/('table 1 &amp; 2'!F22*3))*100</f>
        <v>0.79305216560486835</v>
      </c>
      <c r="F67" s="179">
        <f>+('table 1 &amp; 2'!G64/('table 1 &amp; 2'!G22*3))*100</f>
        <v>0.79206310573366412</v>
      </c>
      <c r="G67" s="180">
        <f>+('table 1 &amp; 2'!B64/('table 1 &amp; 2'!B22*3))*100</f>
        <v>0.79087647664286898</v>
      </c>
    </row>
    <row r="68" spans="2:10" x14ac:dyDescent="0.2">
      <c r="B68" s="8" t="s">
        <v>44</v>
      </c>
      <c r="C68" s="65">
        <f>+('table 1 &amp; 2'!C65/('table 1 &amp; 2'!C23*3))*100</f>
        <v>0.74543225653240652</v>
      </c>
      <c r="D68" s="65">
        <f>+('table 1 &amp; 2'!D65/('table 1 &amp; 2'!D23*3))*100</f>
        <v>0.83888783930365307</v>
      </c>
      <c r="E68" s="64" t="s">
        <v>69</v>
      </c>
      <c r="F68" s="65" t="s">
        <v>69</v>
      </c>
      <c r="G68" s="64">
        <f>+('table 1 &amp; 2'!B65/('table 1 &amp; 2'!B23*3))*100</f>
        <v>0.77524261658102722</v>
      </c>
      <c r="J68" s="169"/>
    </row>
    <row r="69" spans="2:10" x14ac:dyDescent="0.2">
      <c r="B69" s="6" t="s">
        <v>45</v>
      </c>
      <c r="C69" s="179">
        <f>+('table 1 &amp; 2'!C66/('table 1 &amp; 2'!C24*3))*100</f>
        <v>0.79123333291419939</v>
      </c>
      <c r="D69" s="179">
        <f>+('table 1 &amp; 2'!D66/('table 1 &amp; 2'!D24*3))*100</f>
        <v>0.9701036142996059</v>
      </c>
      <c r="E69" s="180" t="s">
        <v>69</v>
      </c>
      <c r="F69" s="179" t="s">
        <v>69</v>
      </c>
      <c r="G69" s="180">
        <f>+('table 1 &amp; 2'!B66/('table 1 &amp; 2'!B24*3))*100</f>
        <v>0.81183480443085299</v>
      </c>
      <c r="J69" s="169"/>
    </row>
    <row r="70" spans="2:10" x14ac:dyDescent="0.2">
      <c r="B70" s="8" t="s">
        <v>46</v>
      </c>
      <c r="C70" s="65">
        <f>+('table 1 &amp; 2'!C67/('table 1 &amp; 2'!C25*3))*100</f>
        <v>0.79997640913549262</v>
      </c>
      <c r="D70" s="65">
        <f>+('table 1 &amp; 2'!D67/('table 1 &amp; 2'!D25*3))*100</f>
        <v>0.80574164613668797</v>
      </c>
      <c r="E70" s="64" t="s">
        <v>69</v>
      </c>
      <c r="F70" s="65" t="s">
        <v>69</v>
      </c>
      <c r="G70" s="64">
        <f>+('table 1 &amp; 2'!B67/('table 1 &amp; 2'!B25*3))*100</f>
        <v>0.803253351435536</v>
      </c>
      <c r="J70" s="169"/>
    </row>
    <row r="71" spans="2:10" x14ac:dyDescent="0.2">
      <c r="B71" s="6" t="s">
        <v>47</v>
      </c>
      <c r="C71" s="179">
        <f>+('table 1 &amp; 2'!C68/('table 1 &amp; 2'!C26*3))*100</f>
        <v>1.0778442912843345</v>
      </c>
      <c r="D71" s="179">
        <f>+('table 1 &amp; 2'!D68/('table 1 &amp; 2'!D26*3))*100</f>
        <v>1.1002434231617342</v>
      </c>
      <c r="E71" s="180">
        <f>+('table 1 &amp; 2'!F68/('table 1 &amp; 2'!F26*3))*100</f>
        <v>1.0503717396449643</v>
      </c>
      <c r="F71" s="179">
        <f>+('table 1 &amp; 2'!G68/('table 1 &amp; 2'!G26*3))*100</f>
        <v>1.0503873868102882</v>
      </c>
      <c r="G71" s="180">
        <f>+('table 1 &amp; 2'!B68/('table 1 &amp; 2'!B26*3))*100</f>
        <v>1.0910700859215927</v>
      </c>
      <c r="J71" s="177"/>
    </row>
    <row r="72" spans="2:10" x14ac:dyDescent="0.2">
      <c r="B72" s="8" t="s">
        <v>48</v>
      </c>
      <c r="C72" s="65">
        <f>+('table 1 &amp; 2'!C69/('table 1 &amp; 2'!C27*3))*100</f>
        <v>0.7089828799434309</v>
      </c>
      <c r="D72" s="65">
        <f>+('table 1 &amp; 2'!D69/('table 1 &amp; 2'!D27*3))*100</f>
        <v>0.83431789571563642</v>
      </c>
      <c r="E72" s="64" t="s">
        <v>69</v>
      </c>
      <c r="F72" s="65" t="s">
        <v>69</v>
      </c>
      <c r="G72" s="64">
        <f>+('table 1 &amp; 2'!B69/('table 1 &amp; 2'!B27*3))*100</f>
        <v>0.76598598291437603</v>
      </c>
    </row>
    <row r="73" spans="2:10" x14ac:dyDescent="0.2">
      <c r="B73" s="6" t="s">
        <v>49</v>
      </c>
      <c r="C73" s="179">
        <f>+('table 1 &amp; 2'!C70/('table 1 &amp; 2'!C28*3))*100</f>
        <v>0.74088576063799705</v>
      </c>
      <c r="D73" s="179">
        <f>+('table 1 &amp; 2'!D70/('table 1 &amp; 2'!D28*3))*100</f>
        <v>0.92909361943187052</v>
      </c>
      <c r="E73" s="180" t="s">
        <v>69</v>
      </c>
      <c r="F73" s="179" t="s">
        <v>69</v>
      </c>
      <c r="G73" s="180">
        <f>+('table 1 &amp; 2'!B70/('table 1 &amp; 2'!B28*3))*100</f>
        <v>0.80026903870599486</v>
      </c>
    </row>
    <row r="74" spans="2:10" x14ac:dyDescent="0.2">
      <c r="B74" s="8" t="s">
        <v>50</v>
      </c>
      <c r="C74" s="65">
        <f>+('table 1 &amp; 2'!C71/('table 1 &amp; 2'!C29*3))*100</f>
        <v>0.87102039830499467</v>
      </c>
      <c r="D74" s="65">
        <f>+('table 1 &amp; 2'!D71/('table 1 &amp; 2'!D29*3))*100</f>
        <v>0.85381831305862532</v>
      </c>
      <c r="E74" s="64">
        <f>+('table 1 &amp; 2'!F71/('table 1 &amp; 2'!F29*3))*100</f>
        <v>0.7470334573486237</v>
      </c>
      <c r="F74" s="65">
        <f>+('table 1 &amp; 2'!G71/('table 1 &amp; 2'!G29*3))*100</f>
        <v>0.74703216466280253</v>
      </c>
      <c r="G74" s="64">
        <f>+('table 1 &amp; 2'!B71/('table 1 &amp; 2'!B29*3))*100</f>
        <v>0.85975966039270424</v>
      </c>
    </row>
    <row r="75" spans="2:10" x14ac:dyDescent="0.2">
      <c r="B75" s="6" t="s">
        <v>51</v>
      </c>
      <c r="C75" s="179">
        <f>+('table 1 &amp; 2'!C72/('table 1 &amp; 2'!C30*3))*100</f>
        <v>0.87688097689422095</v>
      </c>
      <c r="D75" s="179">
        <f>+('table 1 &amp; 2'!D72/('table 1 &amp; 2'!D30*3))*100</f>
        <v>1.0250647745729873</v>
      </c>
      <c r="E75" s="180">
        <f>+('table 1 &amp; 2'!F72/('table 1 &amp; 2'!F30*3))*100</f>
        <v>0.82629999959211498</v>
      </c>
      <c r="F75" s="179">
        <f>+('table 1 &amp; 2'!G72/('table 1 &amp; 2'!G30*3))*100</f>
        <v>0.82630001120318763</v>
      </c>
      <c r="G75" s="180">
        <f>+('table 1 &amp; 2'!B72/('table 1 &amp; 2'!B30*3))*100</f>
        <v>0.91125531029880324</v>
      </c>
    </row>
    <row r="76" spans="2:10" x14ac:dyDescent="0.2">
      <c r="B76" s="8" t="s">
        <v>52</v>
      </c>
      <c r="C76" s="65">
        <f>+('table 1 &amp; 2'!C73/('table 1 &amp; 2'!C31*3))*100</f>
        <v>0.77721764192926801</v>
      </c>
      <c r="D76" s="65">
        <f>+('table 1 &amp; 2'!D73/('table 1 &amp; 2'!D31*3))*100</f>
        <v>0.73336677364521796</v>
      </c>
      <c r="E76" s="64">
        <f>+('table 1 &amp; 2'!F73/('table 1 &amp; 2'!F31*3))*100</f>
        <v>0.69002796566708802</v>
      </c>
      <c r="F76" s="65">
        <f>+('table 1 &amp; 2'!G73/('table 1 &amp; 2'!G31*3))*100</f>
        <v>0.69076695100737329</v>
      </c>
      <c r="G76" s="64">
        <f>+('table 1 &amp; 2'!B73/('table 1 &amp; 2'!B31*3))*100</f>
        <v>0.7469250730647351</v>
      </c>
    </row>
    <row r="77" spans="2:10" x14ac:dyDescent="0.2">
      <c r="B77" s="6" t="s">
        <v>53</v>
      </c>
      <c r="C77" s="179">
        <f>+('table 1 &amp; 2'!C74/('table 1 &amp; 2'!C32*3))*100</f>
        <v>0.80600974610319254</v>
      </c>
      <c r="D77" s="179">
        <f>+('table 1 &amp; 2'!D74/('table 1 &amp; 2'!D32*3))*100</f>
        <v>0.79493082927983572</v>
      </c>
      <c r="E77" s="180">
        <f>+('table 1 &amp; 2'!F74/('table 1 &amp; 2'!F32*3))*100</f>
        <v>0.90422035292350922</v>
      </c>
      <c r="F77" s="179">
        <f>+('table 1 &amp; 2'!G74/('table 1 &amp; 2'!G32*3))*100</f>
        <v>0.90400482620593114</v>
      </c>
      <c r="G77" s="180">
        <f>+('table 1 &amp; 2'!B74/('table 1 &amp; 2'!B32*3))*100</f>
        <v>0.81502426641894676</v>
      </c>
    </row>
    <row r="78" spans="2:10" x14ac:dyDescent="0.2">
      <c r="B78" s="8" t="s">
        <v>54</v>
      </c>
      <c r="C78" s="65">
        <f>+('table 1 &amp; 2'!C75/('table 1 &amp; 2'!C33*3))*100</f>
        <v>0.73937468026241104</v>
      </c>
      <c r="D78" s="65">
        <f>+('table 1 &amp; 2'!D75/('table 1 &amp; 2'!D33*3))*100</f>
        <v>0.97599021004225772</v>
      </c>
      <c r="E78" s="64" t="s">
        <v>69</v>
      </c>
      <c r="F78" s="65" t="s">
        <v>69</v>
      </c>
      <c r="G78" s="64">
        <f>+('table 1 &amp; 2'!B75/('table 1 &amp; 2'!B33*3))*100</f>
        <v>0.81788589703196357</v>
      </c>
    </row>
    <row r="79" spans="2:10" x14ac:dyDescent="0.2">
      <c r="B79" s="6" t="s">
        <v>55</v>
      </c>
      <c r="C79" s="179">
        <f>+('table 1 &amp; 2'!C76/('table 1 &amp; 2'!C34*3))*100</f>
        <v>1.0878433294851524</v>
      </c>
      <c r="D79" s="179">
        <f>+('table 1 &amp; 2'!D76/('table 1 &amp; 2'!D34*3))*100</f>
        <v>1.0146282203238743</v>
      </c>
      <c r="E79" s="180">
        <f>+('table 1 &amp; 2'!F76/('table 1 &amp; 2'!F34*3))*100</f>
        <v>0.88793333686913933</v>
      </c>
      <c r="F79" s="179">
        <f>+('table 1 &amp; 2'!G76/('table 1 &amp; 2'!G34*3))*100</f>
        <v>0.8879333303348711</v>
      </c>
      <c r="G79" s="180">
        <f>+('table 1 &amp; 2'!B76/('table 1 &amp; 2'!B34*3))*100</f>
        <v>1.0657600282332194</v>
      </c>
    </row>
    <row r="80" spans="2:10" x14ac:dyDescent="0.2">
      <c r="B80" s="8" t="s">
        <v>56</v>
      </c>
      <c r="C80" s="65">
        <f>+('table 1 &amp; 2'!C77/('table 1 &amp; 2'!C35*3))*100</f>
        <v>0.63425001539297965</v>
      </c>
      <c r="D80" s="65">
        <f>+('table 1 &amp; 2'!D77/('table 1 &amp; 2'!D35*3))*100</f>
        <v>0.92300283680274187</v>
      </c>
      <c r="E80" s="64" t="s">
        <v>69</v>
      </c>
      <c r="F80" s="65" t="s">
        <v>69</v>
      </c>
      <c r="G80" s="64">
        <f>+('table 1 &amp; 2'!B77/('table 1 &amp; 2'!B35*3))*100</f>
        <v>0.68876182050604295</v>
      </c>
    </row>
    <row r="81" spans="2:7" x14ac:dyDescent="0.2">
      <c r="B81" s="6" t="s">
        <v>57</v>
      </c>
      <c r="C81" s="179">
        <f>+('table 1 &amp; 2'!C78/('table 1 &amp; 2'!C36*3))*100</f>
        <v>0.90966028599290538</v>
      </c>
      <c r="D81" s="179">
        <f>+('table 1 &amp; 2'!D78/('table 1 &amp; 2'!D36*3))*100</f>
        <v>0.94001775411198751</v>
      </c>
      <c r="E81" s="180" t="s">
        <v>69</v>
      </c>
      <c r="F81" s="179" t="s">
        <v>69</v>
      </c>
      <c r="G81" s="180">
        <f>+('table 1 &amp; 2'!B78/('table 1 &amp; 2'!B36*3))*100</f>
        <v>0.92062391048222147</v>
      </c>
    </row>
    <row r="82" spans="2:7" x14ac:dyDescent="0.2">
      <c r="B82" s="8" t="s">
        <v>58</v>
      </c>
      <c r="C82" s="65">
        <f>+('table 1 &amp; 2'!C79/('table 1 &amp; 2'!C37*3))*100</f>
        <v>1.0750435714344511</v>
      </c>
      <c r="D82" s="65">
        <f>+('table 1 &amp; 2'!D79/('table 1 &amp; 2'!D37*3))*100</f>
        <v>1.0901979436031226</v>
      </c>
      <c r="E82" s="64" t="s">
        <v>69</v>
      </c>
      <c r="F82" s="65" t="s">
        <v>69</v>
      </c>
      <c r="G82" s="64">
        <f>+('table 1 &amp; 2'!B79/('table 1 &amp; 2'!B37*3))*100</f>
        <v>1.0825366713063675</v>
      </c>
    </row>
    <row r="83" spans="2:7" x14ac:dyDescent="0.2">
      <c r="B83" s="6" t="s">
        <v>59</v>
      </c>
      <c r="C83" s="179">
        <f>+('table 1 &amp; 2'!C80/('table 1 &amp; 2'!C38*3))*100</f>
        <v>0.58255646996087584</v>
      </c>
      <c r="D83" s="179">
        <f>+('table 1 &amp; 2'!D80/('table 1 &amp; 2'!D38*3))*100</f>
        <v>0.87393422290634282</v>
      </c>
      <c r="E83" s="180" t="s">
        <v>69</v>
      </c>
      <c r="F83" s="179" t="s">
        <v>69</v>
      </c>
      <c r="G83" s="180">
        <f>+('table 1 &amp; 2'!B80/('table 1 &amp; 2'!B38*3))*100</f>
        <v>0.68574593762743863</v>
      </c>
    </row>
    <row r="84" spans="2:7" x14ac:dyDescent="0.2">
      <c r="B84" s="8" t="s">
        <v>60</v>
      </c>
      <c r="C84" s="65">
        <f>+('table 1 &amp; 2'!C81/('table 1 &amp; 2'!C39*3))*100</f>
        <v>0.80116282217338042</v>
      </c>
      <c r="D84" s="65">
        <f>+('table 1 &amp; 2'!D81/('table 1 &amp; 2'!D39*3))*100</f>
        <v>0.73587817863849325</v>
      </c>
      <c r="E84" s="64" t="s">
        <v>69</v>
      </c>
      <c r="F84" s="65" t="s">
        <v>69</v>
      </c>
      <c r="G84" s="64">
        <f>+('table 1 &amp; 2'!B81/('table 1 &amp; 2'!B39*3))*100</f>
        <v>0.76137572483997573</v>
      </c>
    </row>
    <row r="85" spans="2:7" x14ac:dyDescent="0.2">
      <c r="B85" s="6" t="s">
        <v>61</v>
      </c>
      <c r="C85" s="179">
        <f>+('table 1 &amp; 2'!C82/('table 1 &amp; 2'!C40*3))*100</f>
        <v>0.86866570281412914</v>
      </c>
      <c r="D85" s="179">
        <f>+('table 1 &amp; 2'!D82/('table 1 &amp; 2'!D40*3))*100</f>
        <v>0.86091378459041012</v>
      </c>
      <c r="E85" s="180">
        <f>+('table 1 &amp; 2'!F82/('table 1 &amp; 2'!F40*3))*100</f>
        <v>0.83529995272900015</v>
      </c>
      <c r="F85" s="179">
        <f>+('table 1 &amp; 2'!G82/('table 1 &amp; 2'!G40*3))*100</f>
        <v>0.83530004486045906</v>
      </c>
      <c r="G85" s="180">
        <f>+('table 1 &amp; 2'!B82/('table 1 &amp; 2'!B40*3))*100</f>
        <v>0.86182390417745747</v>
      </c>
    </row>
    <row r="86" spans="2:7" ht="12.75" customHeight="1" x14ac:dyDescent="0.2">
      <c r="B86" s="8" t="s">
        <v>62</v>
      </c>
      <c r="C86" s="65">
        <f>+('table 1 &amp; 2'!C83/('table 1 &amp; 2'!C41*3))*100</f>
        <v>1.0444808057409101</v>
      </c>
      <c r="D86" s="65">
        <f>+('table 1 &amp; 2'!D83/('table 1 &amp; 2'!D41*3))*100</f>
        <v>1.1486355438126075</v>
      </c>
      <c r="E86" s="64" t="s">
        <v>69</v>
      </c>
      <c r="F86" s="65" t="s">
        <v>69</v>
      </c>
      <c r="G86" s="64">
        <f>+('table 1 &amp; 2'!B83/('table 1 &amp; 2'!B41*3))*100</f>
        <v>1.077596520008208</v>
      </c>
    </row>
    <row r="87" spans="2:7" ht="13.5" thickBot="1" x14ac:dyDescent="0.25">
      <c r="B87" s="23" t="s">
        <v>63</v>
      </c>
      <c r="C87" s="182">
        <f>+('table 1 &amp; 2'!C84/('table 1 &amp; 2'!C42*3))*100</f>
        <v>1.0117254862226892</v>
      </c>
      <c r="D87" s="182">
        <f>+('table 1 &amp; 2'!D84/('table 1 &amp; 2'!D42*3))*100</f>
        <v>0.97790093706854631</v>
      </c>
      <c r="E87" s="181">
        <f>+('table 1 &amp; 2'!F84/('table 1 &amp; 2'!F42*3))*100</f>
        <v>0.7616863793238704</v>
      </c>
      <c r="F87" s="182">
        <f>+('table 1 &amp; 2'!G84/('table 1 &amp; 2'!G42*3))*100</f>
        <v>0.76182864297609021</v>
      </c>
      <c r="G87" s="181">
        <f>+('table 1 &amp; 2'!B84/('table 1 &amp; 2'!B42*3))*100</f>
        <v>0.92677123101625958</v>
      </c>
    </row>
    <row r="88" spans="2:7" ht="12.75" customHeight="1" x14ac:dyDescent="0.2">
      <c r="B88" s="6" t="s">
        <v>421</v>
      </c>
    </row>
    <row r="89" spans="2:7" ht="16.149999999999999" customHeight="1" x14ac:dyDescent="0.2">
      <c r="B89" s="66" t="s">
        <v>473</v>
      </c>
    </row>
    <row r="90" spans="2:7" ht="15.6" customHeight="1" x14ac:dyDescent="0.2">
      <c r="B90" s="321" t="s">
        <v>474</v>
      </c>
    </row>
    <row r="93" spans="2:7" x14ac:dyDescent="0.2">
      <c r="B93" s="633">
        <f>'Tables 3,4,&amp;5'!B94:J94+1</f>
        <v>11</v>
      </c>
      <c r="C93" s="633"/>
      <c r="D93" s="633"/>
      <c r="E93" s="633"/>
      <c r="F93" s="633"/>
      <c r="G93" s="633"/>
    </row>
  </sheetData>
  <mergeCells count="2">
    <mergeCell ref="B45:G45"/>
    <mergeCell ref="B93:G93"/>
  </mergeCells>
  <phoneticPr fontId="0" type="noConversion"/>
  <printOptions horizontalCentered="1"/>
  <pageMargins left="0.75" right="0.75" top="0.32" bottom="0.39" header="0.18" footer="0.17"/>
  <pageSetup scale="6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  <pageSetUpPr fitToPage="1"/>
  </sheetPr>
  <dimension ref="B1:L50"/>
  <sheetViews>
    <sheetView showGridLines="0" workbookViewId="0">
      <selection activeCell="B3" sqref="B3"/>
    </sheetView>
  </sheetViews>
  <sheetFormatPr defaultRowHeight="12.75" x14ac:dyDescent="0.2"/>
  <cols>
    <col min="2" max="2" width="11.28515625" customWidth="1"/>
    <col min="3" max="3" width="12.28515625" customWidth="1"/>
    <col min="4" max="4" width="13" customWidth="1"/>
    <col min="5" max="5" width="11.5703125" customWidth="1"/>
    <col min="6" max="6" width="10.7109375" customWidth="1"/>
    <col min="7" max="7" width="11.28515625" customWidth="1"/>
    <col min="8" max="8" width="4.140625" customWidth="1"/>
    <col min="9" max="9" width="8" customWidth="1"/>
    <col min="10" max="10" width="10" customWidth="1"/>
    <col min="11" max="15" width="9.140625" customWidth="1"/>
    <col min="16" max="16" width="13.28515625" customWidth="1"/>
    <col min="17" max="21" width="9.140625" customWidth="1"/>
    <col min="22" max="22" width="17.28515625" customWidth="1"/>
    <col min="23" max="30" width="9.140625" customWidth="1"/>
    <col min="31" max="31" width="6.85546875" customWidth="1"/>
    <col min="34" max="34" width="1" customWidth="1"/>
  </cols>
  <sheetData>
    <row r="1" spans="2:11" ht="15" x14ac:dyDescent="0.25">
      <c r="B1" s="82" t="s">
        <v>491</v>
      </c>
      <c r="D1" s="82" t="str">
        <f>'table 1 &amp; 2'!C2</f>
        <v>2025 Tax Year</v>
      </c>
    </row>
    <row r="3" spans="2:11" ht="14.1" customHeight="1" x14ac:dyDescent="0.25">
      <c r="B3" s="3" t="s">
        <v>73</v>
      </c>
    </row>
    <row r="4" spans="2:11" ht="14.1" customHeight="1" x14ac:dyDescent="0.25">
      <c r="B4" s="3" t="s">
        <v>365</v>
      </c>
    </row>
    <row r="5" spans="2:11" ht="14.1" customHeight="1" x14ac:dyDescent="0.25">
      <c r="B5" s="3" t="s">
        <v>508</v>
      </c>
      <c r="E5" s="3" t="str">
        <f>D1</f>
        <v>2025 Tax Year</v>
      </c>
    </row>
    <row r="6" spans="2:11" x14ac:dyDescent="0.2">
      <c r="E6" s="46" t="s">
        <v>4</v>
      </c>
      <c r="F6" s="124" t="s">
        <v>358</v>
      </c>
    </row>
    <row r="7" spans="2:11" x14ac:dyDescent="0.2">
      <c r="E7" s="115" t="s">
        <v>30</v>
      </c>
      <c r="F7" s="124" t="s">
        <v>357</v>
      </c>
      <c r="G7" s="46" t="s">
        <v>324</v>
      </c>
      <c r="H7" s="46"/>
    </row>
    <row r="8" spans="2:11" ht="14.25" x14ac:dyDescent="0.2">
      <c r="B8" s="112" t="s">
        <v>27</v>
      </c>
      <c r="C8" s="120" t="s">
        <v>356</v>
      </c>
      <c r="D8" s="119" t="s">
        <v>28</v>
      </c>
      <c r="E8" s="119" t="s">
        <v>364</v>
      </c>
      <c r="F8" s="183" t="s">
        <v>388</v>
      </c>
      <c r="G8" s="119" t="s">
        <v>326</v>
      </c>
      <c r="H8" s="46"/>
    </row>
    <row r="9" spans="2:11" x14ac:dyDescent="0.2">
      <c r="B9" s="52" t="s">
        <v>31</v>
      </c>
      <c r="C9" s="95">
        <v>6.9029999999999996</v>
      </c>
      <c r="D9" s="95">
        <v>10.08</v>
      </c>
      <c r="E9" s="95" t="s">
        <v>69</v>
      </c>
      <c r="F9" s="127">
        <v>10.75</v>
      </c>
      <c r="G9" s="121">
        <v>1.0999999999999996</v>
      </c>
      <c r="H9" s="129"/>
    </row>
    <row r="10" spans="2:11" x14ac:dyDescent="0.2">
      <c r="B10" s="7" t="s">
        <v>32</v>
      </c>
      <c r="C10" s="130">
        <v>11.486000000000001</v>
      </c>
      <c r="D10" s="130">
        <v>10.182</v>
      </c>
      <c r="E10" s="130" t="s">
        <v>69</v>
      </c>
      <c r="F10" s="131">
        <v>11.85</v>
      </c>
      <c r="G10" s="132">
        <v>0</v>
      </c>
      <c r="H10" s="137"/>
      <c r="I10" s="515">
        <v>11.85</v>
      </c>
      <c r="K10" t="s">
        <v>360</v>
      </c>
    </row>
    <row r="11" spans="2:11" x14ac:dyDescent="0.2">
      <c r="B11" s="52" t="s">
        <v>33</v>
      </c>
      <c r="C11" s="95">
        <v>5.2130000000000001</v>
      </c>
      <c r="D11" s="95">
        <v>9.6709999999999994</v>
      </c>
      <c r="E11" s="95">
        <v>10.08</v>
      </c>
      <c r="F11" s="127">
        <v>10.35</v>
      </c>
      <c r="G11" s="121">
        <v>1.5</v>
      </c>
      <c r="H11" s="129"/>
      <c r="I11" s="510">
        <f>+I10*33</f>
        <v>391.05</v>
      </c>
      <c r="J11" t="s">
        <v>532</v>
      </c>
      <c r="K11" t="s">
        <v>359</v>
      </c>
    </row>
    <row r="12" spans="2:11" x14ac:dyDescent="0.2">
      <c r="B12" s="7" t="s">
        <v>34</v>
      </c>
      <c r="C12" s="130">
        <v>9.0359999999999996</v>
      </c>
      <c r="D12" s="130">
        <v>11.85</v>
      </c>
      <c r="E12" s="130" t="s">
        <v>69</v>
      </c>
      <c r="F12" s="131">
        <v>11.85</v>
      </c>
      <c r="G12" s="132">
        <v>0</v>
      </c>
      <c r="H12" s="137"/>
    </row>
    <row r="13" spans="2:11" x14ac:dyDescent="0.2">
      <c r="B13" s="133" t="s">
        <v>35</v>
      </c>
      <c r="C13" s="134">
        <v>9.1310000000000002</v>
      </c>
      <c r="D13" s="134">
        <v>11.85</v>
      </c>
      <c r="E13" s="134">
        <v>11.85</v>
      </c>
      <c r="F13" s="135">
        <v>11.85</v>
      </c>
      <c r="G13" s="136">
        <v>0</v>
      </c>
      <c r="H13" s="137"/>
      <c r="I13" s="511">
        <f>SUM(F9:F41)</f>
        <v>371.75000000000011</v>
      </c>
      <c r="J13" s="442" t="s">
        <v>533</v>
      </c>
      <c r="K13" t="s">
        <v>361</v>
      </c>
    </row>
    <row r="14" spans="2:11" x14ac:dyDescent="0.2">
      <c r="B14" t="s">
        <v>36</v>
      </c>
      <c r="C14" s="94">
        <v>9.85</v>
      </c>
      <c r="D14" s="94">
        <v>8.49</v>
      </c>
      <c r="E14" s="94" t="s">
        <v>69</v>
      </c>
      <c r="F14" s="128">
        <v>9.85</v>
      </c>
      <c r="G14" s="129">
        <v>2</v>
      </c>
      <c r="H14" s="137"/>
    </row>
    <row r="15" spans="2:11" x14ac:dyDescent="0.2">
      <c r="B15" s="133" t="s">
        <v>67</v>
      </c>
      <c r="C15" s="134">
        <v>10.083</v>
      </c>
      <c r="D15" s="134">
        <v>9.8930000000000007</v>
      </c>
      <c r="E15" s="134" t="s">
        <v>69</v>
      </c>
      <c r="F15" s="135">
        <v>11.85</v>
      </c>
      <c r="G15" s="136">
        <v>0</v>
      </c>
      <c r="H15" s="137"/>
      <c r="I15" s="321"/>
    </row>
    <row r="16" spans="2:11" x14ac:dyDescent="0.2">
      <c r="B16" s="7" t="s">
        <v>37</v>
      </c>
      <c r="C16" s="130">
        <v>8.9700000000000006</v>
      </c>
      <c r="D16" s="130">
        <v>11.57</v>
      </c>
      <c r="E16" s="130" t="s">
        <v>69</v>
      </c>
      <c r="F16" s="131">
        <v>11.85</v>
      </c>
      <c r="G16" s="132">
        <v>0</v>
      </c>
      <c r="H16" s="137"/>
      <c r="I16" s="512">
        <f>+I13/I11</f>
        <v>0.95064569748114081</v>
      </c>
      <c r="J16" s="122" t="s">
        <v>534</v>
      </c>
      <c r="K16" t="s">
        <v>362</v>
      </c>
    </row>
    <row r="17" spans="2:12" x14ac:dyDescent="0.2">
      <c r="B17" s="52" t="s">
        <v>38</v>
      </c>
      <c r="C17" s="95">
        <v>5.3769999999999998</v>
      </c>
      <c r="D17" s="95">
        <v>7.5</v>
      </c>
      <c r="E17" s="95">
        <v>7.5</v>
      </c>
      <c r="F17" s="127">
        <v>7.5</v>
      </c>
      <c r="G17" s="121">
        <v>4.3499999999999996</v>
      </c>
      <c r="H17" s="137"/>
    </row>
    <row r="18" spans="2:12" x14ac:dyDescent="0.2">
      <c r="B18" s="7" t="s">
        <v>39</v>
      </c>
      <c r="C18" s="130">
        <v>7.0279999999999996</v>
      </c>
      <c r="D18" s="130">
        <v>11.85</v>
      </c>
      <c r="E18" s="130">
        <v>11.85</v>
      </c>
      <c r="F18" s="131">
        <v>11.85</v>
      </c>
      <c r="G18" s="132">
        <v>0</v>
      </c>
      <c r="H18" s="137"/>
      <c r="I18">
        <f>COUNTIF(G9:G41,0)</f>
        <v>23</v>
      </c>
      <c r="J18" s="321" t="s">
        <v>488</v>
      </c>
      <c r="K18" s="513">
        <f>I18/33</f>
        <v>0.69696969696969702</v>
      </c>
      <c r="L18" s="321" t="s">
        <v>489</v>
      </c>
    </row>
    <row r="19" spans="2:12" x14ac:dyDescent="0.2">
      <c r="B19" s="133" t="s">
        <v>40</v>
      </c>
      <c r="C19" s="134">
        <v>9.2780000000000005</v>
      </c>
      <c r="D19" s="134">
        <v>11.85</v>
      </c>
      <c r="E19" s="134" t="s">
        <v>69</v>
      </c>
      <c r="F19" s="135">
        <v>11.85</v>
      </c>
      <c r="G19" s="136">
        <v>0</v>
      </c>
      <c r="H19" s="137"/>
    </row>
    <row r="20" spans="2:12" x14ac:dyDescent="0.2">
      <c r="B20" t="s">
        <v>41</v>
      </c>
      <c r="C20" s="94">
        <v>10.85</v>
      </c>
      <c r="D20" s="94">
        <v>8.484</v>
      </c>
      <c r="E20" s="94">
        <v>10.85</v>
      </c>
      <c r="F20" s="128">
        <v>10.85</v>
      </c>
      <c r="G20" s="129">
        <v>1</v>
      </c>
      <c r="H20" s="137"/>
      <c r="L20" s="321"/>
    </row>
    <row r="21" spans="2:12" x14ac:dyDescent="0.2">
      <c r="B21" s="133" t="s">
        <v>42</v>
      </c>
      <c r="C21" s="134">
        <v>10.548</v>
      </c>
      <c r="D21" s="134">
        <v>11.85</v>
      </c>
      <c r="E21" s="134" t="s">
        <v>69</v>
      </c>
      <c r="F21" s="135">
        <v>11.85</v>
      </c>
      <c r="G21" s="136">
        <v>0</v>
      </c>
      <c r="H21" s="137"/>
    </row>
    <row r="22" spans="2:12" x14ac:dyDescent="0.2">
      <c r="B22" t="s">
        <v>43</v>
      </c>
      <c r="C22" s="94">
        <v>6.8070000000000004</v>
      </c>
      <c r="D22" s="94">
        <v>10.6</v>
      </c>
      <c r="E22" s="94">
        <v>10.6</v>
      </c>
      <c r="F22" s="128">
        <v>10.6</v>
      </c>
      <c r="G22" s="129">
        <v>1.25</v>
      </c>
      <c r="H22" s="137"/>
    </row>
    <row r="23" spans="2:12" x14ac:dyDescent="0.2">
      <c r="B23" s="52" t="s">
        <v>44</v>
      </c>
      <c r="C23" s="95">
        <v>8.0299999999999994</v>
      </c>
      <c r="D23" s="95">
        <v>10.489000000000001</v>
      </c>
      <c r="E23" s="95" t="s">
        <v>69</v>
      </c>
      <c r="F23" s="127">
        <v>11.6</v>
      </c>
      <c r="G23" s="121">
        <v>0.25</v>
      </c>
      <c r="H23" s="137"/>
    </row>
    <row r="24" spans="2:12" x14ac:dyDescent="0.2">
      <c r="B24" t="s">
        <v>45</v>
      </c>
      <c r="C24" s="94">
        <v>4.9630000000000001</v>
      </c>
      <c r="D24" s="94">
        <v>8.85</v>
      </c>
      <c r="E24" s="94" t="s">
        <v>69</v>
      </c>
      <c r="F24" s="128">
        <v>8.85</v>
      </c>
      <c r="G24" s="129">
        <v>3</v>
      </c>
      <c r="H24" s="137"/>
      <c r="I24" s="514">
        <f>SUMIF(G9:G41,"&gt;0")/COUNTIF(G9:G41,"&gt;0")</f>
        <v>1.9299999999999997</v>
      </c>
    </row>
    <row r="25" spans="2:12" x14ac:dyDescent="0.2">
      <c r="B25" s="133" t="s">
        <v>46</v>
      </c>
      <c r="C25" s="134">
        <v>10.704000000000001</v>
      </c>
      <c r="D25" s="134">
        <v>11.85</v>
      </c>
      <c r="E25" s="134" t="s">
        <v>69</v>
      </c>
      <c r="F25" s="135">
        <v>11.85</v>
      </c>
      <c r="G25" s="136">
        <v>0</v>
      </c>
      <c r="H25" s="137"/>
      <c r="I25" s="321" t="s">
        <v>490</v>
      </c>
    </row>
    <row r="26" spans="2:12" x14ac:dyDescent="0.2">
      <c r="B26" s="7" t="s">
        <v>47</v>
      </c>
      <c r="C26" s="130">
        <v>7.1630000000000003</v>
      </c>
      <c r="D26" s="130">
        <v>11.85</v>
      </c>
      <c r="E26" s="130">
        <v>11.85</v>
      </c>
      <c r="F26" s="131">
        <v>11.85</v>
      </c>
      <c r="G26" s="132">
        <v>0</v>
      </c>
      <c r="H26" s="137"/>
    </row>
    <row r="27" spans="2:12" x14ac:dyDescent="0.2">
      <c r="B27" s="133" t="s">
        <v>48</v>
      </c>
      <c r="C27" s="134">
        <v>7.726</v>
      </c>
      <c r="D27" s="134">
        <v>11.85</v>
      </c>
      <c r="E27" s="134" t="s">
        <v>69</v>
      </c>
      <c r="F27" s="135">
        <v>11.85</v>
      </c>
      <c r="G27" s="136">
        <v>0</v>
      </c>
      <c r="H27" s="137"/>
    </row>
    <row r="28" spans="2:12" x14ac:dyDescent="0.2">
      <c r="B28" s="7" t="s">
        <v>49</v>
      </c>
      <c r="C28" s="130">
        <v>6.6619999999999999</v>
      </c>
      <c r="D28" s="130">
        <v>11.85</v>
      </c>
      <c r="E28" s="130" t="s">
        <v>69</v>
      </c>
      <c r="F28" s="131">
        <v>11.85</v>
      </c>
      <c r="G28" s="132">
        <v>0</v>
      </c>
      <c r="H28" s="137"/>
    </row>
    <row r="29" spans="2:12" x14ac:dyDescent="0.2">
      <c r="B29" s="133" t="s">
        <v>50</v>
      </c>
      <c r="C29" s="134">
        <v>10.643000000000001</v>
      </c>
      <c r="D29" s="134">
        <v>11.180999999999999</v>
      </c>
      <c r="E29" s="134">
        <v>11.180999999999999</v>
      </c>
      <c r="F29" s="135">
        <v>11.85</v>
      </c>
      <c r="G29" s="136">
        <v>0</v>
      </c>
      <c r="H29" s="137"/>
    </row>
    <row r="30" spans="2:12" x14ac:dyDescent="0.2">
      <c r="B30" s="7" t="s">
        <v>51</v>
      </c>
      <c r="C30" s="130">
        <v>5.141</v>
      </c>
      <c r="D30" s="130">
        <v>11.651999999999999</v>
      </c>
      <c r="E30" s="130">
        <v>11.651999999999999</v>
      </c>
      <c r="F30" s="131">
        <v>11.85</v>
      </c>
      <c r="G30" s="132">
        <v>0</v>
      </c>
      <c r="H30" s="137"/>
    </row>
    <row r="31" spans="2:12" x14ac:dyDescent="0.2">
      <c r="B31" s="133" t="s">
        <v>52</v>
      </c>
      <c r="C31" s="134">
        <v>10.144</v>
      </c>
      <c r="D31" s="134">
        <v>11.85</v>
      </c>
      <c r="E31" s="134">
        <v>11.85</v>
      </c>
      <c r="F31" s="135">
        <v>11.85</v>
      </c>
      <c r="G31" s="136">
        <v>0</v>
      </c>
      <c r="H31" s="137"/>
    </row>
    <row r="32" spans="2:12" x14ac:dyDescent="0.2">
      <c r="B32" t="s">
        <v>53</v>
      </c>
      <c r="C32" s="94">
        <v>6.9420000000000002</v>
      </c>
      <c r="D32" s="94">
        <v>8.4930000000000003</v>
      </c>
      <c r="E32" s="94">
        <v>8.4930000000000003</v>
      </c>
      <c r="F32" s="128">
        <v>8.5</v>
      </c>
      <c r="G32" s="129">
        <v>3.3499999999999996</v>
      </c>
      <c r="H32" s="137"/>
    </row>
    <row r="33" spans="2:8" x14ac:dyDescent="0.2">
      <c r="B33" s="133" t="s">
        <v>54</v>
      </c>
      <c r="C33" s="134">
        <v>5.617</v>
      </c>
      <c r="D33" s="134">
        <v>11.85</v>
      </c>
      <c r="E33" s="134" t="s">
        <v>69</v>
      </c>
      <c r="F33" s="135">
        <v>11.85</v>
      </c>
      <c r="G33" s="136">
        <v>0</v>
      </c>
      <c r="H33" s="137"/>
    </row>
    <row r="34" spans="2:8" x14ac:dyDescent="0.2">
      <c r="B34" t="s">
        <v>55</v>
      </c>
      <c r="C34" s="94">
        <v>5.7649999999999997</v>
      </c>
      <c r="D34" s="94">
        <v>7.52</v>
      </c>
      <c r="E34" s="94">
        <v>7.52</v>
      </c>
      <c r="F34" s="128">
        <v>10.35</v>
      </c>
      <c r="G34" s="129">
        <v>1.5</v>
      </c>
      <c r="H34" s="137"/>
    </row>
    <row r="35" spans="2:8" x14ac:dyDescent="0.2">
      <c r="B35" s="133" t="s">
        <v>56</v>
      </c>
      <c r="C35" s="134">
        <v>5.2279999999999998</v>
      </c>
      <c r="D35" s="134">
        <v>11.85</v>
      </c>
      <c r="E35" s="134" t="s">
        <v>69</v>
      </c>
      <c r="F35" s="135">
        <v>11.85</v>
      </c>
      <c r="G35" s="136">
        <v>0</v>
      </c>
      <c r="H35" s="137"/>
    </row>
    <row r="36" spans="2:8" x14ac:dyDescent="0.2">
      <c r="B36" s="7" t="s">
        <v>57</v>
      </c>
      <c r="C36" s="130">
        <v>10.34</v>
      </c>
      <c r="D36" s="130">
        <v>11.85</v>
      </c>
      <c r="E36" s="130" t="s">
        <v>69</v>
      </c>
      <c r="F36" s="131">
        <v>11.85</v>
      </c>
      <c r="G36" s="132">
        <v>0</v>
      </c>
      <c r="H36" s="137"/>
    </row>
    <row r="37" spans="2:8" x14ac:dyDescent="0.2">
      <c r="B37" s="133" t="s">
        <v>58</v>
      </c>
      <c r="C37" s="134">
        <v>9.9689999999999994</v>
      </c>
      <c r="D37" s="134">
        <v>11.85</v>
      </c>
      <c r="E37" s="134" t="s">
        <v>69</v>
      </c>
      <c r="F37" s="135">
        <v>11.85</v>
      </c>
      <c r="G37" s="136">
        <v>0</v>
      </c>
      <c r="H37" s="137"/>
    </row>
    <row r="38" spans="2:8" x14ac:dyDescent="0.2">
      <c r="B38" s="7" t="s">
        <v>59</v>
      </c>
      <c r="C38" s="130">
        <v>6.3040000000000003</v>
      </c>
      <c r="D38" s="130">
        <v>11.85</v>
      </c>
      <c r="E38" s="130" t="s">
        <v>69</v>
      </c>
      <c r="F38" s="131">
        <v>11.85</v>
      </c>
      <c r="G38" s="132">
        <v>0</v>
      </c>
      <c r="H38" s="137"/>
    </row>
    <row r="39" spans="2:8" x14ac:dyDescent="0.2">
      <c r="B39" s="133" t="s">
        <v>60</v>
      </c>
      <c r="C39" s="134">
        <v>11.85</v>
      </c>
      <c r="D39" s="134">
        <v>11.316000000000001</v>
      </c>
      <c r="E39" s="134" t="s">
        <v>69</v>
      </c>
      <c r="F39" s="135">
        <v>11.85</v>
      </c>
      <c r="G39" s="136">
        <v>0</v>
      </c>
      <c r="H39" s="137"/>
    </row>
    <row r="40" spans="2:8" x14ac:dyDescent="0.2">
      <c r="B40" s="7" t="s">
        <v>61</v>
      </c>
      <c r="C40" s="130">
        <v>9.923</v>
      </c>
      <c r="D40" s="130">
        <v>11.326000000000001</v>
      </c>
      <c r="E40" s="130">
        <v>11.326000000000001</v>
      </c>
      <c r="F40" s="131">
        <v>11.85</v>
      </c>
      <c r="G40" s="132">
        <v>0</v>
      </c>
      <c r="H40" s="137"/>
    </row>
    <row r="41" spans="2:8" ht="13.5" thickBot="1" x14ac:dyDescent="0.25">
      <c r="B41" s="185" t="s">
        <v>62</v>
      </c>
      <c r="C41" s="186">
        <v>11.85</v>
      </c>
      <c r="D41" s="186">
        <v>11.85</v>
      </c>
      <c r="E41" s="186" t="s">
        <v>69</v>
      </c>
      <c r="F41" s="187">
        <v>11.85</v>
      </c>
      <c r="G41" s="188">
        <v>0</v>
      </c>
      <c r="H41" s="137"/>
    </row>
    <row r="42" spans="2:8" ht="14.25" x14ac:dyDescent="0.2">
      <c r="B42" s="66" t="s">
        <v>363</v>
      </c>
      <c r="C42" s="118"/>
      <c r="D42" s="118"/>
      <c r="E42" s="118"/>
      <c r="F42" s="118"/>
      <c r="H42" s="118"/>
    </row>
    <row r="43" spans="2:8" x14ac:dyDescent="0.2">
      <c r="B43" t="s">
        <v>355</v>
      </c>
      <c r="F43" s="118"/>
    </row>
    <row r="44" spans="2:8" x14ac:dyDescent="0.2">
      <c r="C44" s="71"/>
      <c r="D44" s="71"/>
      <c r="E44" s="71"/>
      <c r="F44" s="71"/>
      <c r="G44" s="71"/>
    </row>
    <row r="45" spans="2:8" x14ac:dyDescent="0.2">
      <c r="C45" s="71"/>
      <c r="D45" s="71"/>
      <c r="E45" s="71"/>
      <c r="F45" s="71"/>
      <c r="G45" s="71"/>
    </row>
    <row r="46" spans="2:8" x14ac:dyDescent="0.2">
      <c r="B46" s="646">
        <f>'Tables 6 &amp; 7'!B93:G93+1</f>
        <v>12</v>
      </c>
      <c r="C46" s="646"/>
      <c r="D46" s="646"/>
      <c r="E46" s="646"/>
      <c r="F46" s="646"/>
      <c r="G46" s="646"/>
    </row>
    <row r="50" spans="7:12" x14ac:dyDescent="0.2">
      <c r="G50" s="628">
        <f>SUM(G9:G41)</f>
        <v>19.299999999999997</v>
      </c>
      <c r="H50" s="629" t="s">
        <v>618</v>
      </c>
      <c r="I50" s="429"/>
      <c r="J50" s="429"/>
      <c r="K50" s="429"/>
      <c r="L50" s="429"/>
    </row>
  </sheetData>
  <mergeCells count="1">
    <mergeCell ref="B46:G46"/>
  </mergeCells>
  <phoneticPr fontId="38" type="noConversion"/>
  <printOptions horizontalCentered="1"/>
  <pageMargins left="0.5" right="0.5" top="0.7" bottom="0.32" header="0" footer="0.18"/>
  <pageSetup orientation="portrait" r:id="rId1"/>
  <headerFooter alignWithMargins="0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00B050"/>
    <pageSetUpPr fitToPage="1"/>
  </sheetPr>
  <dimension ref="B1:BO79"/>
  <sheetViews>
    <sheetView showGridLines="0" showZeros="0" zoomScaleNormal="100" zoomScaleSheetLayoutView="90" workbookViewId="0">
      <selection activeCell="B49" sqref="B49"/>
    </sheetView>
  </sheetViews>
  <sheetFormatPr defaultRowHeight="12.75" x14ac:dyDescent="0.2"/>
  <cols>
    <col min="2" max="2" width="13.85546875" bestFit="1" customWidth="1"/>
    <col min="3" max="3" width="10.28515625" customWidth="1"/>
    <col min="4" max="4" width="10" customWidth="1"/>
    <col min="5" max="5" width="10.140625" customWidth="1"/>
    <col min="6" max="6" width="9.42578125" customWidth="1"/>
    <col min="7" max="7" width="7.85546875" customWidth="1"/>
    <col min="8" max="8" width="10.140625" customWidth="1"/>
    <col min="9" max="9" width="10.28515625" customWidth="1"/>
    <col min="10" max="10" width="8.85546875" customWidth="1"/>
    <col min="12" max="12" width="11.7109375" customWidth="1"/>
    <col min="13" max="13" width="11.42578125" customWidth="1"/>
    <col min="15" max="15" width="10" customWidth="1"/>
    <col min="16" max="16" width="11.140625" customWidth="1"/>
    <col min="17" max="17" width="13.5703125" customWidth="1"/>
    <col min="19" max="19" width="11.140625" customWidth="1"/>
    <col min="20" max="20" width="9.5703125" customWidth="1"/>
    <col min="45" max="45" width="0" hidden="1" customWidth="1"/>
    <col min="46" max="46" width="12.7109375" hidden="1" customWidth="1"/>
    <col min="47" max="47" width="0" hidden="1" customWidth="1"/>
    <col min="48" max="48" width="12.85546875" hidden="1" customWidth="1"/>
    <col min="49" max="49" width="10.28515625" hidden="1" customWidth="1"/>
    <col min="50" max="62" width="0" hidden="1" customWidth="1"/>
    <col min="63" max="63" width="1.42578125" hidden="1" customWidth="1"/>
    <col min="64" max="64" width="4.28515625" hidden="1" customWidth="1"/>
    <col min="65" max="74" width="0" hidden="1" customWidth="1"/>
  </cols>
  <sheetData>
    <row r="1" spans="2:67" ht="15.75" x14ac:dyDescent="0.25">
      <c r="B1" s="1" t="s">
        <v>437</v>
      </c>
      <c r="C1" s="6"/>
      <c r="D1" s="6"/>
      <c r="E1" s="6"/>
      <c r="F1" s="6"/>
      <c r="G1" s="6"/>
      <c r="H1" s="6"/>
      <c r="I1" s="6"/>
      <c r="J1" s="6"/>
    </row>
    <row r="2" spans="2:67" ht="15.75" x14ac:dyDescent="0.25">
      <c r="B2" s="3" t="s">
        <v>491</v>
      </c>
      <c r="C2" s="6"/>
      <c r="D2" s="3" t="str">
        <f>'table 1 &amp; 2'!C2</f>
        <v>2025 Tax Year</v>
      </c>
      <c r="E2" s="6"/>
      <c r="F2" s="6"/>
      <c r="G2" s="6"/>
      <c r="H2" s="6"/>
      <c r="I2" s="6"/>
      <c r="J2" s="6"/>
    </row>
    <row r="3" spans="2:67" x14ac:dyDescent="0.2">
      <c r="B3" s="184"/>
      <c r="C3" s="6"/>
      <c r="D3" s="6"/>
      <c r="E3" s="6"/>
      <c r="F3" s="6"/>
      <c r="G3" s="6"/>
      <c r="H3" s="6"/>
      <c r="I3" s="6"/>
      <c r="J3" s="6"/>
      <c r="L3" s="525" t="s">
        <v>550</v>
      </c>
      <c r="M3" s="525"/>
      <c r="N3" s="525"/>
      <c r="O3" s="525"/>
      <c r="P3" s="525"/>
      <c r="Q3" s="525"/>
      <c r="R3" s="525"/>
      <c r="S3" s="525"/>
      <c r="T3" s="525"/>
      <c r="AT3" t="s">
        <v>389</v>
      </c>
    </row>
    <row r="4" spans="2:67" ht="17.25" customHeight="1" x14ac:dyDescent="0.25">
      <c r="B4" s="3" t="s">
        <v>445</v>
      </c>
      <c r="C4" s="6"/>
      <c r="D4" s="6"/>
      <c r="E4" s="6"/>
      <c r="F4" s="6"/>
      <c r="G4" s="6"/>
      <c r="H4" s="6"/>
      <c r="I4" s="6"/>
      <c r="J4" s="6"/>
      <c r="L4" s="526" t="s">
        <v>551</v>
      </c>
      <c r="M4" s="424"/>
      <c r="N4" s="424"/>
      <c r="O4" s="424"/>
      <c r="P4" s="424"/>
      <c r="Q4" s="424"/>
      <c r="R4" s="424"/>
      <c r="S4" s="424"/>
      <c r="T4" s="424"/>
      <c r="U4" s="424"/>
      <c r="V4" s="424"/>
      <c r="AT4" s="7"/>
      <c r="BD4" s="3" t="s">
        <v>315</v>
      </c>
      <c r="BE4" s="6"/>
      <c r="BF4" s="6"/>
      <c r="BG4" s="6"/>
      <c r="BH4" s="6"/>
      <c r="BI4" s="6"/>
      <c r="BJ4" s="6"/>
      <c r="BK4" s="6"/>
      <c r="BL4" s="6"/>
      <c r="BM4" s="6"/>
      <c r="BN4" s="6"/>
    </row>
    <row r="5" spans="2:67" ht="15.75" x14ac:dyDescent="0.25">
      <c r="B5" s="3" t="s">
        <v>492</v>
      </c>
      <c r="C5" s="6"/>
      <c r="D5" s="6"/>
      <c r="E5" s="6"/>
      <c r="F5" s="6"/>
      <c r="G5" s="6"/>
      <c r="H5" s="6"/>
      <c r="I5" s="3" t="str">
        <f>D2</f>
        <v>2025 Tax Year</v>
      </c>
      <c r="J5" s="6"/>
      <c r="L5" s="318" t="s">
        <v>574</v>
      </c>
      <c r="M5" s="555"/>
      <c r="N5" s="555"/>
      <c r="O5" s="555"/>
      <c r="P5" s="555"/>
      <c r="Q5" s="555"/>
      <c r="R5" s="555"/>
      <c r="S5" s="555"/>
      <c r="T5" s="555"/>
      <c r="U5" s="555"/>
      <c r="V5" s="555"/>
      <c r="AT5" s="7" t="s">
        <v>390</v>
      </c>
      <c r="BD5" s="3" t="s">
        <v>70</v>
      </c>
      <c r="BE5" s="6"/>
      <c r="BF5" s="6"/>
      <c r="BG5" s="6"/>
      <c r="BH5" s="6"/>
      <c r="BI5" s="6"/>
      <c r="BJ5" s="6"/>
      <c r="BK5" s="6"/>
      <c r="BL5" s="6"/>
      <c r="BM5" s="6"/>
      <c r="BN5" s="6"/>
    </row>
    <row r="6" spans="2:67" ht="8.25" customHeight="1" x14ac:dyDescent="0.2">
      <c r="B6" s="6"/>
      <c r="C6" s="6"/>
      <c r="D6" s="6"/>
      <c r="E6" s="6"/>
      <c r="F6" s="6"/>
      <c r="G6" s="6"/>
      <c r="H6" s="6"/>
      <c r="I6" s="6"/>
      <c r="J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</row>
    <row r="7" spans="2:67" ht="19.5" customHeight="1" x14ac:dyDescent="0.2">
      <c r="B7" s="6"/>
      <c r="C7" s="21" t="s">
        <v>64</v>
      </c>
      <c r="D7" s="200" t="s">
        <v>339</v>
      </c>
      <c r="E7" s="166"/>
      <c r="F7" s="166"/>
      <c r="G7" s="166"/>
      <c r="H7" s="166"/>
      <c r="I7" s="166"/>
      <c r="J7" s="166"/>
      <c r="M7" s="21"/>
      <c r="N7" s="389" t="s">
        <v>339</v>
      </c>
      <c r="O7" s="390"/>
      <c r="P7" s="390"/>
      <c r="Q7" s="390"/>
      <c r="AU7" s="46" t="s">
        <v>64</v>
      </c>
      <c r="AV7" s="201" t="s">
        <v>391</v>
      </c>
      <c r="BD7" s="6"/>
      <c r="BE7" s="21" t="s">
        <v>64</v>
      </c>
      <c r="BF7" s="165" t="s">
        <v>339</v>
      </c>
      <c r="BG7" s="166"/>
      <c r="BH7" s="166"/>
      <c r="BI7" s="166"/>
      <c r="BJ7" s="166"/>
      <c r="BK7" s="166"/>
      <c r="BL7" s="166"/>
      <c r="BM7" s="166"/>
      <c r="BN7" s="166"/>
      <c r="BO7" s="166"/>
    </row>
    <row r="8" spans="2:67" ht="14.25" x14ac:dyDescent="0.2">
      <c r="B8" s="6"/>
      <c r="C8" s="21" t="s">
        <v>65</v>
      </c>
      <c r="D8" s="22"/>
      <c r="E8" s="204"/>
      <c r="F8" s="21" t="s">
        <v>5</v>
      </c>
      <c r="G8" s="21"/>
      <c r="H8" s="207" t="s">
        <v>399</v>
      </c>
      <c r="I8" s="60"/>
      <c r="J8" s="21"/>
      <c r="M8" s="21"/>
      <c r="N8" s="391"/>
      <c r="O8" s="321" t="s">
        <v>331</v>
      </c>
      <c r="AU8" s="46" t="s">
        <v>65</v>
      </c>
      <c r="AV8" s="189"/>
      <c r="AW8" s="46"/>
      <c r="AX8" s="46" t="s">
        <v>5</v>
      </c>
      <c r="AY8" s="46"/>
      <c r="AZ8" s="46" t="s">
        <v>4</v>
      </c>
      <c r="BA8" s="46"/>
      <c r="BB8" s="46"/>
      <c r="BD8" s="6"/>
      <c r="BE8" s="21" t="s">
        <v>65</v>
      </c>
      <c r="BF8" s="22"/>
      <c r="BG8" s="22"/>
      <c r="BH8" s="21" t="s">
        <v>5</v>
      </c>
      <c r="BI8" s="21"/>
      <c r="BJ8" s="44" t="s">
        <v>336</v>
      </c>
      <c r="BK8" s="60"/>
      <c r="BL8" s="21"/>
      <c r="BM8" s="21"/>
      <c r="BN8" s="21"/>
    </row>
    <row r="9" spans="2:67" ht="15" thickBot="1" x14ac:dyDescent="0.25">
      <c r="B9" s="23" t="s">
        <v>27</v>
      </c>
      <c r="C9" s="472" t="s">
        <v>572</v>
      </c>
      <c r="D9" s="32" t="s">
        <v>8</v>
      </c>
      <c r="E9" s="29" t="s">
        <v>9</v>
      </c>
      <c r="F9" s="28" t="s">
        <v>66</v>
      </c>
      <c r="G9" s="24" t="s">
        <v>29</v>
      </c>
      <c r="H9" s="25" t="s">
        <v>30</v>
      </c>
      <c r="I9" s="24" t="s">
        <v>10</v>
      </c>
      <c r="J9" s="67" t="s">
        <v>29</v>
      </c>
      <c r="L9" s="380" t="s">
        <v>27</v>
      </c>
      <c r="M9" s="326" t="s">
        <v>411</v>
      </c>
      <c r="N9" s="327" t="s">
        <v>461</v>
      </c>
      <c r="O9" s="327" t="s">
        <v>462</v>
      </c>
      <c r="AT9" s="112" t="s">
        <v>27</v>
      </c>
      <c r="AU9" s="190" t="s">
        <v>396</v>
      </c>
      <c r="AV9" s="191" t="s">
        <v>8</v>
      </c>
      <c r="AW9" s="120" t="s">
        <v>9</v>
      </c>
      <c r="AX9" s="120" t="s">
        <v>66</v>
      </c>
      <c r="AY9" s="119" t="s">
        <v>29</v>
      </c>
      <c r="AZ9" s="119" t="s">
        <v>30</v>
      </c>
      <c r="BA9" s="119" t="s">
        <v>10</v>
      </c>
      <c r="BB9" s="119" t="s">
        <v>29</v>
      </c>
      <c r="BD9" s="23" t="s">
        <v>27</v>
      </c>
      <c r="BE9" s="31" t="s">
        <v>71</v>
      </c>
      <c r="BF9" s="32" t="s">
        <v>8</v>
      </c>
      <c r="BG9" s="29" t="s">
        <v>9</v>
      </c>
      <c r="BH9" s="28" t="s">
        <v>66</v>
      </c>
      <c r="BI9" s="24" t="s">
        <v>29</v>
      </c>
      <c r="BJ9" s="25" t="s">
        <v>30</v>
      </c>
      <c r="BK9" s="24"/>
      <c r="BL9" s="24" t="s">
        <v>10</v>
      </c>
      <c r="BM9" s="24"/>
      <c r="BN9" s="24" t="s">
        <v>29</v>
      </c>
      <c r="BO9" s="24"/>
    </row>
    <row r="10" spans="2:67" x14ac:dyDescent="0.2">
      <c r="B10" s="52" t="s">
        <v>31</v>
      </c>
      <c r="C10" s="473">
        <v>667601</v>
      </c>
      <c r="D10" s="208">
        <f>'table 1 &amp; 2'!B51/'Tables 9 &amp; 10'!$C$10</f>
        <v>1419.1639109587913</v>
      </c>
      <c r="E10" s="90">
        <f>'table 1 &amp; 2'!C51/'Tables 9 &amp; 10'!$C$10</f>
        <v>1072.5543897178104</v>
      </c>
      <c r="F10" s="80">
        <f>'table 1 &amp; 2'!D51/'Tables 9 &amp; 10'!$C$10</f>
        <v>346.60952124098071</v>
      </c>
      <c r="G10" s="80">
        <f>'table 1 &amp; 2'!E51/'Tables 9 &amp; 10'!$C$10</f>
        <v>1419.1639109587913</v>
      </c>
      <c r="H10" s="90">
        <f>'table 1 &amp; 2'!F51/'Tables 9 &amp; 10'!$C$10</f>
        <v>0</v>
      </c>
      <c r="I10" s="80">
        <f>'table 1 &amp; 2'!G51/'Tables 9 &amp; 10'!$C$10</f>
        <v>0</v>
      </c>
      <c r="J10" s="80">
        <f>'table 1 &amp; 2'!H51/'Tables 9 &amp; 10'!$C$10</f>
        <v>0</v>
      </c>
      <c r="L10" t="s">
        <v>31</v>
      </c>
      <c r="M10" s="343">
        <f>C10</f>
        <v>667601</v>
      </c>
      <c r="N10" s="344">
        <f t="shared" ref="N10:N42" si="0">RANK(O10,$O$10:$O$42)</f>
        <v>1</v>
      </c>
      <c r="O10" s="306">
        <f t="shared" ref="O10:O42" si="1">M10/$M$43</f>
        <v>0.31409156818778472</v>
      </c>
      <c r="Q10" s="312"/>
      <c r="R10" s="329"/>
      <c r="S10" s="306"/>
      <c r="AT10" t="s">
        <v>31</v>
      </c>
      <c r="AU10" s="192">
        <v>635139</v>
      </c>
      <c r="AV10" s="87">
        <v>882.20166546718747</v>
      </c>
      <c r="AW10" s="78">
        <v>613.35209382805647</v>
      </c>
      <c r="AX10" s="78">
        <v>268.849571639131</v>
      </c>
      <c r="AY10" s="78">
        <v>882.20166546718747</v>
      </c>
      <c r="AZ10" s="78">
        <v>0</v>
      </c>
      <c r="BA10" s="78">
        <v>0</v>
      </c>
      <c r="BB10" s="78">
        <v>0</v>
      </c>
      <c r="BD10" s="6" t="s">
        <v>31</v>
      </c>
      <c r="BE10" s="33">
        <v>614508</v>
      </c>
      <c r="BF10" s="34">
        <v>882.61661626781438</v>
      </c>
      <c r="BG10" s="40">
        <v>605.39029009594515</v>
      </c>
      <c r="BH10" s="35">
        <v>277.22632617186912</v>
      </c>
      <c r="BI10" s="35">
        <v>882.61661626781427</v>
      </c>
      <c r="BJ10" s="40">
        <v>0</v>
      </c>
      <c r="BK10" s="35"/>
      <c r="BL10" s="35">
        <v>0</v>
      </c>
      <c r="BM10" s="35"/>
      <c r="BN10" s="35">
        <v>0</v>
      </c>
    </row>
    <row r="11" spans="2:67" x14ac:dyDescent="0.2">
      <c r="B11" t="s">
        <v>32</v>
      </c>
      <c r="C11" s="474">
        <v>3827</v>
      </c>
      <c r="D11" s="209">
        <f>'table 1 &amp; 2'!B52/'Tables 9 &amp; 10'!$C$11</f>
        <v>730.62374444734792</v>
      </c>
      <c r="E11" s="87">
        <f>'table 1 &amp; 2'!C52/'Tables 9 &amp; 10'!$C$11</f>
        <v>305.15603867258955</v>
      </c>
      <c r="F11" s="78">
        <f>'table 1 &amp; 2'!D52/'Tables 9 &amp; 10'!$C$11</f>
        <v>425.46770577475831</v>
      </c>
      <c r="G11" s="78">
        <f>'table 1 &amp; 2'!E52/'Tables 9 &amp; 10'!$C$11</f>
        <v>730.62374444734792</v>
      </c>
      <c r="H11" s="87">
        <f>'table 1 &amp; 2'!F52/'Tables 9 &amp; 10'!$C$11</f>
        <v>0</v>
      </c>
      <c r="I11" s="78">
        <f>'table 1 &amp; 2'!G52/'Tables 9 &amp; 10'!$C$11</f>
        <v>0</v>
      </c>
      <c r="J11" s="78">
        <f>'table 1 &amp; 2'!H52/'Tables 9 &amp; 10'!$C$11</f>
        <v>0</v>
      </c>
      <c r="L11" t="s">
        <v>32</v>
      </c>
      <c r="M11" s="343">
        <f t="shared" ref="M11:M42" si="2">C11</f>
        <v>3827</v>
      </c>
      <c r="N11" s="344">
        <f t="shared" si="0"/>
        <v>31</v>
      </c>
      <c r="O11" s="306">
        <f t="shared" si="1"/>
        <v>1.8005192194958546E-3</v>
      </c>
      <c r="Q11" s="312"/>
      <c r="R11" s="329"/>
      <c r="S11" s="306"/>
      <c r="AT11" t="s">
        <v>32</v>
      </c>
      <c r="AU11" s="169">
        <v>3405</v>
      </c>
      <c r="AV11" s="87">
        <v>496.19092689926578</v>
      </c>
      <c r="AW11" s="78">
        <v>205.67238232569753</v>
      </c>
      <c r="AX11" s="78">
        <v>290.51854457356825</v>
      </c>
      <c r="AY11" s="78">
        <v>496.19092689926578</v>
      </c>
      <c r="AZ11" s="78">
        <v>0</v>
      </c>
      <c r="BA11" s="78">
        <v>0</v>
      </c>
      <c r="BB11" s="78">
        <v>0</v>
      </c>
      <c r="BD11" s="8" t="s">
        <v>32</v>
      </c>
      <c r="BE11" s="36">
        <v>3712</v>
      </c>
      <c r="BF11" s="37">
        <v>429.10162770689652</v>
      </c>
      <c r="BG11" s="45">
        <v>173.61462873922412</v>
      </c>
      <c r="BH11" s="38">
        <v>255.48699896767241</v>
      </c>
      <c r="BI11" s="38">
        <v>429.10162770689652</v>
      </c>
      <c r="BJ11" s="45">
        <v>0</v>
      </c>
      <c r="BK11" s="38"/>
      <c r="BL11" s="38">
        <v>0</v>
      </c>
      <c r="BM11" s="38"/>
      <c r="BN11" s="38">
        <v>0</v>
      </c>
      <c r="BO11" s="38"/>
    </row>
    <row r="12" spans="2:67" x14ac:dyDescent="0.2">
      <c r="B12" s="52" t="s">
        <v>33</v>
      </c>
      <c r="C12" s="475">
        <v>63364</v>
      </c>
      <c r="D12" s="208">
        <f>'table 1 &amp; 2'!B53/'Tables 9 &amp; 10'!$C$12</f>
        <v>659.32587762767503</v>
      </c>
      <c r="E12" s="90">
        <f>'table 1 &amp; 2'!C53/'Tables 9 &amp; 10'!$C$12</f>
        <v>351.19980398964714</v>
      </c>
      <c r="F12" s="80">
        <f>'table 1 &amp; 2'!D53/'Tables 9 &amp; 10'!$C$12</f>
        <v>277.50130847168748</v>
      </c>
      <c r="G12" s="80">
        <f>'table 1 &amp; 2'!E53/'Tables 9 &amp; 10'!$C$12</f>
        <v>628.70111246133456</v>
      </c>
      <c r="H12" s="90">
        <f>'table 1 &amp; 2'!F53/'Tables 9 &amp; 10'!$C$12</f>
        <v>24.914770374345057</v>
      </c>
      <c r="I12" s="80">
        <f>'table 1 &amp; 2'!G53/'Tables 9 &amp; 10'!$C$12</f>
        <v>5.709994791995455</v>
      </c>
      <c r="J12" s="80">
        <f>'table 1 &amp; 2'!H53/'Tables 9 &amp; 10'!$C$12</f>
        <v>30.624765166340509</v>
      </c>
      <c r="L12" t="s">
        <v>33</v>
      </c>
      <c r="M12" s="343">
        <f t="shared" si="2"/>
        <v>63364</v>
      </c>
      <c r="N12" s="344">
        <f t="shared" si="0"/>
        <v>10</v>
      </c>
      <c r="O12" s="306">
        <f t="shared" si="1"/>
        <v>2.9811366559742706E-2</v>
      </c>
      <c r="Q12" s="312"/>
      <c r="R12" s="329"/>
      <c r="S12" s="306"/>
      <c r="AT12" t="s">
        <v>33</v>
      </c>
      <c r="AU12" s="169">
        <v>63060</v>
      </c>
      <c r="AV12" s="87">
        <v>434.44869664086525</v>
      </c>
      <c r="AW12" s="78">
        <v>195.06965996983823</v>
      </c>
      <c r="AX12" s="78">
        <v>186.70968752992391</v>
      </c>
      <c r="AY12" s="78">
        <v>381.77934749976214</v>
      </c>
      <c r="AZ12" s="78">
        <v>43.873309759194896</v>
      </c>
      <c r="BA12" s="78">
        <v>8.7960393819081819</v>
      </c>
      <c r="BB12" s="78">
        <v>52.669349141103083</v>
      </c>
      <c r="BD12" s="6" t="s">
        <v>33</v>
      </c>
      <c r="BE12" s="39">
        <v>62203</v>
      </c>
      <c r="BF12" s="34">
        <v>390.70728816777847</v>
      </c>
      <c r="BG12" s="40">
        <v>178.51039740956227</v>
      </c>
      <c r="BH12" s="35">
        <v>177.45387647812808</v>
      </c>
      <c r="BI12" s="35">
        <v>355.96427388769035</v>
      </c>
      <c r="BJ12" s="40">
        <v>28.874836858476126</v>
      </c>
      <c r="BK12" s="35"/>
      <c r="BL12" s="35">
        <v>5.8681774216119802</v>
      </c>
      <c r="BM12" s="35"/>
      <c r="BN12" s="35">
        <v>34.743014280088111</v>
      </c>
    </row>
    <row r="13" spans="2:67" x14ac:dyDescent="0.2">
      <c r="B13" t="s">
        <v>34</v>
      </c>
      <c r="C13" s="476">
        <v>26807</v>
      </c>
      <c r="D13" s="209">
        <f>'table 1 &amp; 2'!B54/'Tables 9 &amp; 10'!$C$13</f>
        <v>508.665229231171</v>
      </c>
      <c r="E13" s="193">
        <f>'table 1 &amp; 2'!C54/'Tables 9 &amp; 10'!$C$13</f>
        <v>214.86512030439809</v>
      </c>
      <c r="F13" s="79">
        <f>'table 1 &amp; 2'!D54/'Tables 9 &amp; 10'!$C$13</f>
        <v>293.80010892677285</v>
      </c>
      <c r="G13" s="79">
        <f>'table 1 &amp; 2'!E54/'Tables 9 &amp; 10'!$C$13</f>
        <v>508.665229231171</v>
      </c>
      <c r="H13" s="193">
        <f>'table 1 &amp; 2'!F54/'Tables 9 &amp; 10'!$C$13</f>
        <v>0</v>
      </c>
      <c r="I13" s="79">
        <f>'table 1 &amp; 2'!G54/'Tables 9 &amp; 10'!$C$13</f>
        <v>0</v>
      </c>
      <c r="J13" s="79">
        <f>'table 1 &amp; 2'!H54/'Tables 9 &amp; 10'!$C$13</f>
        <v>0</v>
      </c>
      <c r="L13" t="s">
        <v>34</v>
      </c>
      <c r="M13" s="343">
        <f t="shared" si="2"/>
        <v>26807</v>
      </c>
      <c r="N13" s="344">
        <f t="shared" si="0"/>
        <v>16</v>
      </c>
      <c r="O13" s="306">
        <f t="shared" si="1"/>
        <v>1.2612103140064116E-2</v>
      </c>
      <c r="Q13" s="312"/>
      <c r="R13" s="329"/>
      <c r="S13" s="306"/>
      <c r="AT13" t="s">
        <v>34</v>
      </c>
      <c r="AU13" s="173">
        <v>27285</v>
      </c>
      <c r="AV13" s="193">
        <v>312.69679004812173</v>
      </c>
      <c r="AW13" s="79">
        <v>104.83855836254351</v>
      </c>
      <c r="AX13" s="79">
        <v>207.85823168557818</v>
      </c>
      <c r="AY13" s="79">
        <v>312.69679004812173</v>
      </c>
      <c r="AZ13" s="79">
        <v>0</v>
      </c>
      <c r="BA13" s="79">
        <v>0</v>
      </c>
      <c r="BB13" s="79">
        <v>0</v>
      </c>
      <c r="BD13" s="8" t="s">
        <v>34</v>
      </c>
      <c r="BE13" s="36">
        <v>28506</v>
      </c>
      <c r="BF13" s="37">
        <v>268.99687274461519</v>
      </c>
      <c r="BG13" s="45">
        <v>90.33522344674806</v>
      </c>
      <c r="BH13" s="38">
        <v>178.66164929786711</v>
      </c>
      <c r="BI13" s="38">
        <v>268.99687274461519</v>
      </c>
      <c r="BJ13" s="45">
        <v>0</v>
      </c>
      <c r="BK13" s="38"/>
      <c r="BL13" s="38">
        <v>0</v>
      </c>
      <c r="BM13" s="38"/>
      <c r="BN13" s="38">
        <v>0</v>
      </c>
      <c r="BO13" s="38"/>
    </row>
    <row r="14" spans="2:67" x14ac:dyDescent="0.2">
      <c r="B14" s="52" t="s">
        <v>35</v>
      </c>
      <c r="C14" s="475">
        <v>12184</v>
      </c>
      <c r="D14" s="208">
        <f>'table 1 &amp; 2'!B55/'Tables 9 &amp; 10'!$C$14</f>
        <v>1779.0138763952727</v>
      </c>
      <c r="E14" s="90">
        <f>'table 1 &amp; 2'!C55/'Tables 9 &amp; 10'!$C$14</f>
        <v>1201.8109134931058</v>
      </c>
      <c r="F14" s="80">
        <f>'table 1 &amp; 2'!D55/'Tables 9 &amp; 10'!$C$14</f>
        <v>550.77210850295478</v>
      </c>
      <c r="G14" s="80">
        <f>'table 1 &amp; 2'!E55/'Tables 9 &amp; 10'!$C$14</f>
        <v>1752.5830219960606</v>
      </c>
      <c r="H14" s="90">
        <f>'table 1 &amp; 2'!F55/'Tables 9 &amp; 10'!$C$14</f>
        <v>21.807062541037425</v>
      </c>
      <c r="I14" s="80">
        <f>'table 1 &amp; 2'!G55/'Tables 9 &amp; 10'!$C$14</f>
        <v>4.6237918581746564</v>
      </c>
      <c r="J14" s="80">
        <f>'table 1 &amp; 2'!H55/'Tables 9 &amp; 10'!$C$14</f>
        <v>26.430854399212084</v>
      </c>
      <c r="L14" t="s">
        <v>35</v>
      </c>
      <c r="M14" s="343">
        <f t="shared" si="2"/>
        <v>12184</v>
      </c>
      <c r="N14" s="344">
        <f t="shared" si="0"/>
        <v>24</v>
      </c>
      <c r="O14" s="306">
        <f t="shared" si="1"/>
        <v>5.7323036765972021E-3</v>
      </c>
      <c r="Q14" s="312"/>
      <c r="R14" s="329"/>
      <c r="S14" s="306"/>
      <c r="AT14" t="s">
        <v>35</v>
      </c>
      <c r="AU14" s="169">
        <v>12962</v>
      </c>
      <c r="AV14" s="87">
        <v>1110.6686560457908</v>
      </c>
      <c r="AW14" s="78">
        <v>520.13891565908045</v>
      </c>
      <c r="AX14" s="78">
        <v>399.2410533962352</v>
      </c>
      <c r="AY14" s="78">
        <v>919.37996905531566</v>
      </c>
      <c r="AZ14" s="78">
        <v>162.29976484230826</v>
      </c>
      <c r="BA14" s="78">
        <v>28.988922148166946</v>
      </c>
      <c r="BB14" s="78">
        <v>191.28868699047524</v>
      </c>
      <c r="BD14" s="6" t="s">
        <v>35</v>
      </c>
      <c r="BE14" s="39">
        <v>14375</v>
      </c>
      <c r="BF14" s="34">
        <v>893.49295014377071</v>
      </c>
      <c r="BG14" s="40">
        <v>416.30747287874794</v>
      </c>
      <c r="BH14" s="35">
        <v>333.96733084535663</v>
      </c>
      <c r="BI14" s="35">
        <v>750.27480372410457</v>
      </c>
      <c r="BJ14" s="40">
        <v>122.75978486166609</v>
      </c>
      <c r="BK14" s="35"/>
      <c r="BL14" s="35">
        <v>20.458361558000004</v>
      </c>
      <c r="BM14" s="35"/>
      <c r="BN14" s="35">
        <v>143.21814641966608</v>
      </c>
    </row>
    <row r="15" spans="2:67" x14ac:dyDescent="0.2">
      <c r="B15" t="s">
        <v>36</v>
      </c>
      <c r="C15" s="474">
        <v>46655</v>
      </c>
      <c r="D15" s="209">
        <f>'table 1 &amp; 2'!B56/'Tables 9 &amp; 10'!$C$15</f>
        <v>602.16713771299976</v>
      </c>
      <c r="E15" s="87">
        <f>'table 1 &amp; 2'!C56/'Tables 9 &amp; 10'!$C$15</f>
        <v>390.17163305112001</v>
      </c>
      <c r="F15" s="78">
        <f>'table 1 &amp; 2'!D56/'Tables 9 &amp; 10'!$C$15</f>
        <v>211.99550466187978</v>
      </c>
      <c r="G15" s="78">
        <f>'table 1 &amp; 2'!E56/'Tables 9 &amp; 10'!$C$15</f>
        <v>602.16713771299976</v>
      </c>
      <c r="H15" s="87">
        <f>'table 1 &amp; 2'!F56/'Tables 9 &amp; 10'!$C$15</f>
        <v>0</v>
      </c>
      <c r="I15" s="78">
        <f>'table 1 &amp; 2'!G56/'Tables 9 &amp; 10'!$C$15</f>
        <v>0</v>
      </c>
      <c r="J15" s="78">
        <f>'table 1 &amp; 2'!H56/'Tables 9 &amp; 10'!$C$15</f>
        <v>0</v>
      </c>
      <c r="L15" t="s">
        <v>36</v>
      </c>
      <c r="M15" s="343">
        <f t="shared" si="2"/>
        <v>46655</v>
      </c>
      <c r="N15" s="344">
        <f t="shared" si="0"/>
        <v>12</v>
      </c>
      <c r="O15" s="306">
        <f t="shared" si="1"/>
        <v>2.1950150035426993E-2</v>
      </c>
      <c r="Q15" s="312"/>
      <c r="R15" s="329"/>
      <c r="S15" s="306"/>
      <c r="AT15" t="s">
        <v>36</v>
      </c>
      <c r="AU15" s="169">
        <v>43755</v>
      </c>
      <c r="AV15" s="87">
        <v>335.35212314901156</v>
      </c>
      <c r="AW15" s="78">
        <v>197.93497256187868</v>
      </c>
      <c r="AX15" s="78">
        <v>137.41715058713288</v>
      </c>
      <c r="AY15" s="78">
        <v>335.35212314901156</v>
      </c>
      <c r="AZ15" s="78">
        <v>0</v>
      </c>
      <c r="BA15" s="78">
        <v>0</v>
      </c>
      <c r="BB15" s="78">
        <v>0</v>
      </c>
      <c r="BD15" s="8" t="s">
        <v>36</v>
      </c>
      <c r="BE15" s="36">
        <v>46289</v>
      </c>
      <c r="BF15" s="37">
        <v>297.58054643900277</v>
      </c>
      <c r="BG15" s="45">
        <v>170.72570727820866</v>
      </c>
      <c r="BH15" s="38">
        <v>126.85483916079414</v>
      </c>
      <c r="BI15" s="38">
        <v>297.58054643900277</v>
      </c>
      <c r="BJ15" s="45">
        <v>0</v>
      </c>
      <c r="BK15" s="38"/>
      <c r="BL15" s="38">
        <v>0</v>
      </c>
      <c r="BM15" s="38"/>
      <c r="BN15" s="38">
        <v>0</v>
      </c>
      <c r="BO15" s="38"/>
    </row>
    <row r="16" spans="2:67" x14ac:dyDescent="0.2">
      <c r="B16" s="52" t="s">
        <v>67</v>
      </c>
      <c r="C16" s="475">
        <v>1647</v>
      </c>
      <c r="D16" s="208">
        <f>'table 1 &amp; 2'!B57/'Tables 9 &amp; 10'!$C$16</f>
        <v>1246.2655251973283</v>
      </c>
      <c r="E16" s="90">
        <f>'table 1 &amp; 2'!C57/'Tables 9 &amp; 10'!$C$16</f>
        <v>247.55060109289616</v>
      </c>
      <c r="F16" s="80">
        <f>'table 1 &amp; 2'!D57/'Tables 9 &amp; 10'!$C$16</f>
        <v>998.71492410443227</v>
      </c>
      <c r="G16" s="80">
        <f>'table 1 &amp; 2'!E57/'Tables 9 &amp; 10'!$C$16</f>
        <v>1246.2655251973283</v>
      </c>
      <c r="H16" s="90">
        <f>'table 1 &amp; 2'!F57/'Tables 9 &amp; 10'!$C$16</f>
        <v>0</v>
      </c>
      <c r="I16" s="80">
        <f>'table 1 &amp; 2'!G57/'Tables 9 &amp; 10'!$C$16</f>
        <v>0</v>
      </c>
      <c r="J16" s="80">
        <f>'table 1 &amp; 2'!H57/'Tables 9 &amp; 10'!$C$16</f>
        <v>0</v>
      </c>
      <c r="L16" t="s">
        <v>67</v>
      </c>
      <c r="M16" s="343">
        <f t="shared" si="2"/>
        <v>1647</v>
      </c>
      <c r="N16" s="344">
        <f t="shared" si="0"/>
        <v>32</v>
      </c>
      <c r="O16" s="306">
        <f t="shared" si="1"/>
        <v>7.7487722877179837E-4</v>
      </c>
      <c r="Q16" s="312"/>
      <c r="R16" s="329"/>
      <c r="S16" s="306"/>
      <c r="AT16" t="s">
        <v>67</v>
      </c>
      <c r="AU16" s="169">
        <v>1907</v>
      </c>
      <c r="AV16" s="87">
        <v>675.39820284268478</v>
      </c>
      <c r="AW16" s="78">
        <v>151.92995453959097</v>
      </c>
      <c r="AX16" s="78">
        <v>523.46824830309379</v>
      </c>
      <c r="AY16" s="78">
        <v>675.39820284268478</v>
      </c>
      <c r="AZ16" s="78">
        <v>0</v>
      </c>
      <c r="BA16" s="78">
        <v>0</v>
      </c>
      <c r="BB16" s="78">
        <v>0</v>
      </c>
      <c r="BD16" s="6" t="s">
        <v>67</v>
      </c>
      <c r="BE16" s="39">
        <v>2256</v>
      </c>
      <c r="BF16" s="34">
        <v>587.55907570966315</v>
      </c>
      <c r="BG16" s="40">
        <v>133.46612685328014</v>
      </c>
      <c r="BH16" s="35">
        <v>454.09294885638303</v>
      </c>
      <c r="BI16" s="35">
        <v>587.55907570966315</v>
      </c>
      <c r="BJ16" s="40">
        <v>0</v>
      </c>
      <c r="BK16" s="35"/>
      <c r="BL16" s="35">
        <v>0</v>
      </c>
      <c r="BM16" s="35"/>
      <c r="BN16" s="35">
        <v>0</v>
      </c>
    </row>
    <row r="17" spans="2:67" x14ac:dyDescent="0.2">
      <c r="B17" t="s">
        <v>37</v>
      </c>
      <c r="C17" s="474">
        <v>229091</v>
      </c>
      <c r="D17" s="209">
        <f>'table 1 &amp; 2'!B58/'Tables 9 &amp; 10'!$C$17</f>
        <v>829.49653997756354</v>
      </c>
      <c r="E17" s="87">
        <f>'table 1 &amp; 2'!C58/'Tables 9 &amp; 10'!$C$17</f>
        <v>593.89609543805739</v>
      </c>
      <c r="F17" s="78">
        <f>'table 1 &amp; 2'!D58/'Tables 9 &amp; 10'!$C$17</f>
        <v>235.60044453950616</v>
      </c>
      <c r="G17" s="78">
        <f>'table 1 &amp; 2'!E58/'Tables 9 &amp; 10'!$C$17</f>
        <v>829.49653997756354</v>
      </c>
      <c r="H17" s="87">
        <f>'table 1 &amp; 2'!F58/'Tables 9 &amp; 10'!$C$17</f>
        <v>0</v>
      </c>
      <c r="I17" s="78">
        <f>'table 1 &amp; 2'!G58/'Tables 9 &amp; 10'!$C$17</f>
        <v>0</v>
      </c>
      <c r="J17" s="78">
        <f>'table 1 &amp; 2'!H58/'Tables 9 &amp; 10'!$C$17</f>
        <v>0</v>
      </c>
      <c r="L17" t="s">
        <v>37</v>
      </c>
      <c r="M17" s="343">
        <f t="shared" si="2"/>
        <v>229091</v>
      </c>
      <c r="N17" s="344">
        <f t="shared" si="0"/>
        <v>2</v>
      </c>
      <c r="O17" s="306">
        <f t="shared" si="1"/>
        <v>0.10778227031970861</v>
      </c>
      <c r="Q17" s="312"/>
      <c r="R17" s="329"/>
      <c r="S17" s="306"/>
      <c r="AT17" t="s">
        <v>37</v>
      </c>
      <c r="AU17" s="169">
        <v>201603</v>
      </c>
      <c r="AV17" s="87">
        <v>494.9442132881108</v>
      </c>
      <c r="AW17" s="78">
        <v>307.95916953812196</v>
      </c>
      <c r="AX17" s="78">
        <v>186.98504374998888</v>
      </c>
      <c r="AY17" s="78">
        <v>494.9442132881108</v>
      </c>
      <c r="AZ17" s="78">
        <v>0</v>
      </c>
      <c r="BA17" s="78">
        <v>0</v>
      </c>
      <c r="BB17" s="78">
        <v>0</v>
      </c>
      <c r="BD17" s="8" t="s">
        <v>37</v>
      </c>
      <c r="BE17" s="36">
        <v>192474</v>
      </c>
      <c r="BF17" s="37">
        <v>492.01395775712558</v>
      </c>
      <c r="BG17" s="45">
        <v>301.94273247190785</v>
      </c>
      <c r="BH17" s="38">
        <v>190.07122528521774</v>
      </c>
      <c r="BI17" s="38">
        <v>492.01395775712558</v>
      </c>
      <c r="BJ17" s="45">
        <v>0</v>
      </c>
      <c r="BK17" s="38"/>
      <c r="BL17" s="38">
        <v>0</v>
      </c>
      <c r="BM17" s="38"/>
      <c r="BN17" s="38">
        <v>0</v>
      </c>
      <c r="BO17" s="38"/>
    </row>
    <row r="18" spans="2:67" x14ac:dyDescent="0.2">
      <c r="B18" s="52" t="s">
        <v>38</v>
      </c>
      <c r="C18" s="475">
        <v>62509</v>
      </c>
      <c r="D18" s="208">
        <f>'table 1 &amp; 2'!B59/'Tables 9 &amp; 10'!$C$18</f>
        <v>6537.0135463693223</v>
      </c>
      <c r="E18" s="90">
        <f>'table 1 &amp; 2'!C59/'Tables 9 &amp; 10'!$C$18</f>
        <v>404.50718776496188</v>
      </c>
      <c r="F18" s="80">
        <f>'table 1 &amp; 2'!D59/'Tables 9 &amp; 10'!$C$18</f>
        <v>1206.9454081812219</v>
      </c>
      <c r="G18" s="80">
        <f>'table 1 &amp; 2'!E59/'Tables 9 &amp; 10'!$C$18</f>
        <v>1611.4525959461837</v>
      </c>
      <c r="H18" s="90">
        <f>'table 1 &amp; 2'!F59/'Tables 9 &amp; 10'!$C$18</f>
        <v>4011.2796398918554</v>
      </c>
      <c r="I18" s="80">
        <f>'table 1 &amp; 2'!G59/'Tables 9 &amp; 10'!$C$18</f>
        <v>914.28131053128345</v>
      </c>
      <c r="J18" s="80">
        <f>'table 1 &amp; 2'!H59/'Tables 9 &amp; 10'!$C$18</f>
        <v>4925.5609504231388</v>
      </c>
      <c r="L18" t="s">
        <v>38</v>
      </c>
      <c r="M18" s="343">
        <f t="shared" si="2"/>
        <v>62509</v>
      </c>
      <c r="N18" s="344">
        <f t="shared" si="0"/>
        <v>11</v>
      </c>
      <c r="O18" s="306">
        <f t="shared" si="1"/>
        <v>2.9409107889068819E-2</v>
      </c>
      <c r="Q18" s="312"/>
      <c r="R18" s="329"/>
      <c r="S18" s="306"/>
      <c r="AT18" t="s">
        <v>38</v>
      </c>
      <c r="AU18" s="169">
        <v>51360</v>
      </c>
      <c r="AV18" s="87">
        <v>1348.5127345531007</v>
      </c>
      <c r="AW18" s="78">
        <v>171.59946366359034</v>
      </c>
      <c r="AX18" s="78">
        <v>329.95314600514018</v>
      </c>
      <c r="AY18" s="78">
        <v>501.55260966873055</v>
      </c>
      <c r="AZ18" s="78">
        <v>705.94931788565202</v>
      </c>
      <c r="BA18" s="78">
        <v>141.01080699871807</v>
      </c>
      <c r="BB18" s="78">
        <v>846.96012488437009</v>
      </c>
      <c r="BD18" s="6" t="s">
        <v>38</v>
      </c>
      <c r="BE18" s="39">
        <v>52167</v>
      </c>
      <c r="BF18" s="34">
        <v>1063.4223341219806</v>
      </c>
      <c r="BG18" s="40">
        <v>157.19278330178085</v>
      </c>
      <c r="BH18" s="35">
        <v>279.08037008509217</v>
      </c>
      <c r="BI18" s="35">
        <v>436.27315338687299</v>
      </c>
      <c r="BJ18" s="40">
        <v>521.11528006307117</v>
      </c>
      <c r="BK18" s="35"/>
      <c r="BL18" s="35">
        <v>106.03390067203654</v>
      </c>
      <c r="BM18" s="35"/>
      <c r="BN18" s="35">
        <v>627.14918073510773</v>
      </c>
    </row>
    <row r="19" spans="2:67" x14ac:dyDescent="0.2">
      <c r="B19" t="s">
        <v>39</v>
      </c>
      <c r="C19" s="474">
        <v>27252</v>
      </c>
      <c r="D19" s="209">
        <f>'table 1 &amp; 2'!B60/'Tables 9 &amp; 10'!$C$19</f>
        <v>768.41961947746961</v>
      </c>
      <c r="E19" s="87">
        <f>'table 1 &amp; 2'!C60/'Tables 9 &amp; 10'!$C$19</f>
        <v>393.51836966094237</v>
      </c>
      <c r="F19" s="78">
        <f>'table 1 &amp; 2'!D60/'Tables 9 &amp; 10'!$C$19</f>
        <v>235.33925913694409</v>
      </c>
      <c r="G19" s="78">
        <f>'table 1 &amp; 2'!E60/'Tables 9 &amp; 10'!$C$19</f>
        <v>628.85762879788649</v>
      </c>
      <c r="H19" s="87">
        <f>'table 1 &amp; 2'!F60/'Tables 9 &amp; 10'!$C$19</f>
        <v>139.56199067958315</v>
      </c>
      <c r="I19" s="78">
        <f>'table 1 &amp; 2'!G60/'Tables 9 &amp; 10'!$C$19</f>
        <v>0</v>
      </c>
      <c r="J19" s="78">
        <f>'table 1 &amp; 2'!H60/'Tables 9 &amp; 10'!$C$19</f>
        <v>139.56199067958315</v>
      </c>
      <c r="L19" t="s">
        <v>39</v>
      </c>
      <c r="M19" s="343">
        <f t="shared" si="2"/>
        <v>27252</v>
      </c>
      <c r="N19" s="344">
        <f t="shared" si="0"/>
        <v>15</v>
      </c>
      <c r="O19" s="306">
        <f t="shared" si="1"/>
        <v>1.2821465840005495E-2</v>
      </c>
      <c r="Q19" s="312"/>
      <c r="R19" s="329"/>
      <c r="S19" s="306"/>
      <c r="AT19" t="s">
        <v>39</v>
      </c>
      <c r="AU19" s="169">
        <v>29844</v>
      </c>
      <c r="AV19" s="87">
        <v>450.05530897507032</v>
      </c>
      <c r="AW19" s="78">
        <v>181.14535072098241</v>
      </c>
      <c r="AX19" s="78">
        <v>133.83328000526069</v>
      </c>
      <c r="AY19" s="78">
        <v>314.97863072624307</v>
      </c>
      <c r="AZ19" s="78">
        <v>135.07667824882725</v>
      </c>
      <c r="BA19" s="78">
        <v>0</v>
      </c>
      <c r="BB19" s="78">
        <v>135.07667824882725</v>
      </c>
      <c r="BD19" s="8" t="s">
        <v>39</v>
      </c>
      <c r="BE19" s="36">
        <v>31511</v>
      </c>
      <c r="BF19" s="37">
        <v>402.03484050214212</v>
      </c>
      <c r="BG19" s="45">
        <v>162.28592394830378</v>
      </c>
      <c r="BH19" s="38">
        <v>121.71935388803908</v>
      </c>
      <c r="BI19" s="38">
        <v>284.00527783634283</v>
      </c>
      <c r="BJ19" s="45">
        <v>118.02956266579925</v>
      </c>
      <c r="BK19" s="38"/>
      <c r="BL19" s="38">
        <v>0</v>
      </c>
      <c r="BM19" s="38"/>
      <c r="BN19" s="38">
        <v>118.02956266579925</v>
      </c>
      <c r="BO19" s="38"/>
    </row>
    <row r="20" spans="2:67" x14ac:dyDescent="0.2">
      <c r="B20" s="52" t="s">
        <v>40</v>
      </c>
      <c r="C20" s="475">
        <v>4343</v>
      </c>
      <c r="D20" s="208">
        <f>'table 1 &amp; 2'!B61/'Tables 9 &amp; 10'!$C$20</f>
        <v>1303.5525834676491</v>
      </c>
      <c r="E20" s="90">
        <f>'table 1 &amp; 2'!C61/'Tables 9 &amp; 10'!$C$20</f>
        <v>284.03625143909744</v>
      </c>
      <c r="F20" s="80">
        <f>'table 1 &amp; 2'!D61/'Tables 9 &amp; 10'!$C$20</f>
        <v>1019.5163320285516</v>
      </c>
      <c r="G20" s="80">
        <f>'table 1 &amp; 2'!E61/'Tables 9 &amp; 10'!$C$20</f>
        <v>1303.5525834676491</v>
      </c>
      <c r="H20" s="90">
        <f>'table 1 &amp; 2'!F61/'Tables 9 &amp; 10'!$C$20</f>
        <v>0</v>
      </c>
      <c r="I20" s="80">
        <f>'table 1 &amp; 2'!G61/'Tables 9 &amp; 10'!$C$20</f>
        <v>0</v>
      </c>
      <c r="J20" s="80">
        <f>'table 1 &amp; 2'!H61/'Tables 9 &amp; 10'!$C$20</f>
        <v>0</v>
      </c>
      <c r="L20" t="s">
        <v>40</v>
      </c>
      <c r="M20" s="343">
        <f>C20</f>
        <v>4343</v>
      </c>
      <c r="N20" s="344">
        <f t="shared" si="0"/>
        <v>27</v>
      </c>
      <c r="O20" s="306">
        <f t="shared" si="1"/>
        <v>2.0432858558323743E-3</v>
      </c>
      <c r="Q20" s="312"/>
      <c r="R20" s="329"/>
      <c r="S20" s="306"/>
      <c r="AT20" t="s">
        <v>40</v>
      </c>
      <c r="AU20" s="169">
        <v>4346</v>
      </c>
      <c r="AV20" s="87">
        <v>744.78305771744135</v>
      </c>
      <c r="AW20" s="78">
        <v>173.7032747887713</v>
      </c>
      <c r="AX20" s="78">
        <v>571.07978292867006</v>
      </c>
      <c r="AY20" s="78">
        <v>744.78305771744135</v>
      </c>
      <c r="AZ20" s="78">
        <v>0</v>
      </c>
      <c r="BA20" s="78">
        <v>0</v>
      </c>
      <c r="BB20" s="78">
        <v>0</v>
      </c>
      <c r="BD20" s="6" t="s">
        <v>40</v>
      </c>
      <c r="BE20" s="39">
        <v>4743</v>
      </c>
      <c r="BF20" s="34">
        <v>574.66492252772514</v>
      </c>
      <c r="BG20" s="40">
        <v>134.1807733348092</v>
      </c>
      <c r="BH20" s="35">
        <v>440.48414919291588</v>
      </c>
      <c r="BI20" s="35">
        <v>574.66492252772514</v>
      </c>
      <c r="BJ20" s="40">
        <v>0</v>
      </c>
      <c r="BK20" s="35"/>
      <c r="BL20" s="35">
        <v>0</v>
      </c>
      <c r="BM20" s="35"/>
      <c r="BN20" s="35">
        <v>0</v>
      </c>
    </row>
    <row r="21" spans="2:67" x14ac:dyDescent="0.2">
      <c r="B21" t="s">
        <v>41</v>
      </c>
      <c r="C21" s="474">
        <v>617</v>
      </c>
      <c r="D21" s="209">
        <f>'table 1 &amp; 2'!B62/'Tables 9 &amp; 10'!$C$21</f>
        <v>2866.7460615883306</v>
      </c>
      <c r="E21" s="87">
        <f>'table 1 &amp; 2'!C62/'Tables 9 &amp; 10'!$C$21</f>
        <v>206.5009886547812</v>
      </c>
      <c r="F21" s="78">
        <f>'table 1 &amp; 2'!D62/'Tables 9 &amp; 10'!$C$21</f>
        <v>2094.2866936790924</v>
      </c>
      <c r="G21" s="78">
        <f>'table 1 &amp; 2'!E62/'Tables 9 &amp; 10'!$C$21</f>
        <v>2300.7876823338734</v>
      </c>
      <c r="H21" s="87">
        <f>'table 1 &amp; 2'!F62/'Tables 9 &amp; 10'!$C$21</f>
        <v>466.29453808752021</v>
      </c>
      <c r="I21" s="78">
        <f>'table 1 &amp; 2'!G62/'Tables 9 &amp; 10'!$C$21</f>
        <v>99.663841166936791</v>
      </c>
      <c r="J21" s="78">
        <f>'table 1 &amp; 2'!H62/'Tables 9 &amp; 10'!$C$21</f>
        <v>565.9583792544571</v>
      </c>
      <c r="L21" t="s">
        <v>41</v>
      </c>
      <c r="M21" s="343">
        <f t="shared" si="2"/>
        <v>617</v>
      </c>
      <c r="N21" s="344">
        <f t="shared" si="0"/>
        <v>33</v>
      </c>
      <c r="O21" s="306">
        <f t="shared" si="1"/>
        <v>2.9028491205355169E-4</v>
      </c>
      <c r="Q21" s="312"/>
      <c r="R21" s="329"/>
      <c r="S21" s="306"/>
      <c r="AT21" t="s">
        <v>41</v>
      </c>
      <c r="AU21" s="169">
        <v>684</v>
      </c>
      <c r="AV21" s="87">
        <v>1804.123221453319</v>
      </c>
      <c r="AW21" s="78">
        <v>102.17836043567252</v>
      </c>
      <c r="AX21" s="78">
        <v>1105.039436239766</v>
      </c>
      <c r="AY21" s="78">
        <v>1207.2177966754386</v>
      </c>
      <c r="AZ21" s="78">
        <v>500.60323827307025</v>
      </c>
      <c r="BA21" s="78">
        <v>96.302186504809953</v>
      </c>
      <c r="BB21" s="78">
        <v>596.90542477788017</v>
      </c>
      <c r="BD21" s="8" t="s">
        <v>41</v>
      </c>
      <c r="BE21" s="36">
        <v>778</v>
      </c>
      <c r="BF21" s="37">
        <v>1042.2148473477764</v>
      </c>
      <c r="BG21" s="45">
        <v>85.996347245501283</v>
      </c>
      <c r="BH21" s="38">
        <v>472.48842539974294</v>
      </c>
      <c r="BI21" s="38">
        <v>558.48477264524422</v>
      </c>
      <c r="BJ21" s="45">
        <v>416.8672404773136</v>
      </c>
      <c r="BK21" s="38"/>
      <c r="BL21" s="38">
        <v>66.862834225218506</v>
      </c>
      <c r="BM21" s="38"/>
      <c r="BN21" s="38">
        <v>483.73007470253208</v>
      </c>
      <c r="BO21" s="38"/>
    </row>
    <row r="22" spans="2:67" x14ac:dyDescent="0.2">
      <c r="B22" s="52" t="s">
        <v>42</v>
      </c>
      <c r="C22" s="475">
        <v>3929</v>
      </c>
      <c r="D22" s="208">
        <f>'table 1 &amp; 2'!B63/'Tables 9 &amp; 10'!$C$22</f>
        <v>1064.1250369050647</v>
      </c>
      <c r="E22" s="90">
        <f>'table 1 &amp; 2'!C63/'Tables 9 &amp; 10'!$C$22</f>
        <v>159.37967676253501</v>
      </c>
      <c r="F22" s="80">
        <f>'table 1 &amp; 2'!D63/'Tables 9 &amp; 10'!$C$22</f>
        <v>904.74536014252976</v>
      </c>
      <c r="G22" s="80">
        <f>'table 1 &amp; 2'!E63/'Tables 9 &amp; 10'!$C$22</f>
        <v>1064.1250369050647</v>
      </c>
      <c r="H22" s="90">
        <f>'table 1 &amp; 2'!F63/'Tables 9 &amp; 10'!$C$22</f>
        <v>0</v>
      </c>
      <c r="I22" s="80">
        <f>'table 1 &amp; 2'!G63/'Tables 9 &amp; 10'!$C$22</f>
        <v>0</v>
      </c>
      <c r="J22" s="80">
        <f>'table 1 &amp; 2'!H63/'Tables 9 &amp; 10'!$C$22</f>
        <v>0</v>
      </c>
      <c r="L22" t="s">
        <v>42</v>
      </c>
      <c r="M22" s="343">
        <f t="shared" si="2"/>
        <v>3929</v>
      </c>
      <c r="N22" s="344">
        <f t="shared" si="0"/>
        <v>29</v>
      </c>
      <c r="O22" s="306">
        <f t="shared" si="1"/>
        <v>1.848507973190283E-3</v>
      </c>
      <c r="Q22" s="312"/>
      <c r="R22" s="329"/>
      <c r="S22" s="306"/>
      <c r="AT22" t="s">
        <v>42</v>
      </c>
      <c r="AU22" s="169">
        <v>4910</v>
      </c>
      <c r="AV22" s="87">
        <v>597.40432298065173</v>
      </c>
      <c r="AW22" s="78">
        <v>90.074106572301417</v>
      </c>
      <c r="AX22" s="78">
        <v>507.33021640835034</v>
      </c>
      <c r="AY22" s="78">
        <v>597.40432298065173</v>
      </c>
      <c r="AZ22" s="78">
        <v>0</v>
      </c>
      <c r="BA22" s="78">
        <v>0</v>
      </c>
      <c r="BB22" s="78">
        <v>0</v>
      </c>
      <c r="BD22" s="6" t="s">
        <v>42</v>
      </c>
      <c r="BE22" s="39">
        <v>5966</v>
      </c>
      <c r="BF22" s="34">
        <v>514.84261579567544</v>
      </c>
      <c r="BG22" s="40">
        <v>71.685178622527673</v>
      </c>
      <c r="BH22" s="35">
        <v>443.1574371731478</v>
      </c>
      <c r="BI22" s="35">
        <v>514.84261579567544</v>
      </c>
      <c r="BJ22" s="40">
        <v>0</v>
      </c>
      <c r="BK22" s="35"/>
      <c r="BL22" s="35">
        <v>0</v>
      </c>
      <c r="BM22" s="35"/>
      <c r="BN22" s="35">
        <v>0</v>
      </c>
    </row>
    <row r="23" spans="2:67" x14ac:dyDescent="0.2">
      <c r="B23" t="s">
        <v>43</v>
      </c>
      <c r="C23" s="474">
        <v>74749</v>
      </c>
      <c r="D23" s="209">
        <f>'table 1 &amp; 2'!B64/'Tables 9 &amp; 10'!$C$23</f>
        <v>7266.2349987290809</v>
      </c>
      <c r="E23" s="87">
        <f>'table 1 &amp; 2'!C64/'Tables 9 &amp; 10'!$C$23</f>
        <v>329.90256645573862</v>
      </c>
      <c r="F23" s="78">
        <f>'table 1 &amp; 2'!D64/'Tables 9 &amp; 10'!$C$23</f>
        <v>898.90927450534457</v>
      </c>
      <c r="G23" s="78">
        <f>'table 1 &amp; 2'!E64/'Tables 9 &amp; 10'!$C$23</f>
        <v>1228.8118409610834</v>
      </c>
      <c r="H23" s="87">
        <f>'table 1 &amp; 2'!F64/'Tables 9 &amp; 10'!$C$23</f>
        <v>4897.9047727728803</v>
      </c>
      <c r="I23" s="78">
        <f>'table 1 &amp; 2'!G64/'Tables 9 &amp; 10'!$C$23</f>
        <v>1139.518384995117</v>
      </c>
      <c r="J23" s="78">
        <f>'table 1 &amp; 2'!H64/'Tables 9 &amp; 10'!$C$23</f>
        <v>6037.4231577679966</v>
      </c>
      <c r="L23" t="s">
        <v>43</v>
      </c>
      <c r="M23" s="343">
        <f t="shared" si="2"/>
        <v>74749</v>
      </c>
      <c r="N23" s="344">
        <f t="shared" si="0"/>
        <v>7</v>
      </c>
      <c r="O23" s="306">
        <f t="shared" si="1"/>
        <v>3.5167758332400219E-2</v>
      </c>
      <c r="Q23" s="312"/>
      <c r="R23" s="329"/>
      <c r="S23" s="306"/>
      <c r="AT23" t="s">
        <v>43</v>
      </c>
      <c r="AU23" s="169">
        <v>59155</v>
      </c>
      <c r="AV23" s="87">
        <v>1652.5997468199464</v>
      </c>
      <c r="AW23" s="78">
        <v>155.73101555190601</v>
      </c>
      <c r="AX23" s="78">
        <v>289.25840906016401</v>
      </c>
      <c r="AY23" s="78">
        <v>444.98942461207002</v>
      </c>
      <c r="AZ23" s="78">
        <v>1010.8868734320212</v>
      </c>
      <c r="BA23" s="78">
        <v>196.72344877585513</v>
      </c>
      <c r="BB23" s="78">
        <v>1207.6103222078762</v>
      </c>
      <c r="BD23" s="8" t="s">
        <v>43</v>
      </c>
      <c r="BE23" s="36">
        <v>57006</v>
      </c>
      <c r="BF23" s="37">
        <v>1319.4952186382982</v>
      </c>
      <c r="BG23" s="45">
        <v>142.84931179738976</v>
      </c>
      <c r="BH23" s="38">
        <v>224.49266312232047</v>
      </c>
      <c r="BI23" s="38">
        <v>367.3419749197102</v>
      </c>
      <c r="BJ23" s="45">
        <v>796.34978520367065</v>
      </c>
      <c r="BK23" s="38"/>
      <c r="BL23" s="38">
        <v>155.80345851491739</v>
      </c>
      <c r="BM23" s="38"/>
      <c r="BN23" s="38">
        <v>952.15324371858799</v>
      </c>
      <c r="BO23" s="38"/>
    </row>
    <row r="24" spans="2:67" x14ac:dyDescent="0.2">
      <c r="B24" s="52" t="s">
        <v>44</v>
      </c>
      <c r="C24" s="475">
        <v>19844</v>
      </c>
      <c r="D24" s="208">
        <f>'table 1 &amp; 2'!B65/'Tables 9 &amp; 10'!$C$24</f>
        <v>2018.5391720419277</v>
      </c>
      <c r="E24" s="90">
        <f>'table 1 &amp; 2'!C65/'Tables 9 &amp; 10'!$C$24</f>
        <v>1321.8077242491438</v>
      </c>
      <c r="F24" s="80">
        <f>'table 1 &amp; 2'!D65/'Tables 9 &amp; 10'!$C$24</f>
        <v>696.7314477927838</v>
      </c>
      <c r="G24" s="80">
        <f>'table 1 &amp; 2'!E65/'Tables 9 &amp; 10'!$C$24</f>
        <v>2018.5391720419277</v>
      </c>
      <c r="H24" s="90">
        <f>'table 1 &amp; 2'!F65/'Tables 9 &amp; 10'!$C$24</f>
        <v>0</v>
      </c>
      <c r="I24" s="80">
        <f>'table 1 &amp; 2'!G65/'Tables 9 &amp; 10'!$C$24</f>
        <v>0</v>
      </c>
      <c r="J24" s="80">
        <f>'table 1 &amp; 2'!H65/'Tables 9 &amp; 10'!$C$24</f>
        <v>0</v>
      </c>
      <c r="L24" t="s">
        <v>44</v>
      </c>
      <c r="M24" s="343">
        <f t="shared" si="2"/>
        <v>19844</v>
      </c>
      <c r="N24" s="344">
        <f t="shared" si="0"/>
        <v>19</v>
      </c>
      <c r="O24" s="306">
        <f t="shared" si="1"/>
        <v>9.3361649834532903E-3</v>
      </c>
      <c r="Q24" s="312"/>
      <c r="R24" s="329"/>
      <c r="S24" s="306"/>
      <c r="AT24" t="s">
        <v>44</v>
      </c>
      <c r="AU24" s="169">
        <v>20793</v>
      </c>
      <c r="AV24" s="87">
        <v>1083.2882685720194</v>
      </c>
      <c r="AW24" s="78">
        <v>733.72784200471312</v>
      </c>
      <c r="AX24" s="78">
        <v>349.56042656730631</v>
      </c>
      <c r="AY24" s="78">
        <v>1083.2882685720194</v>
      </c>
      <c r="AZ24" s="78">
        <v>0</v>
      </c>
      <c r="BA24" s="78">
        <v>0</v>
      </c>
      <c r="BB24" s="78">
        <v>0</v>
      </c>
      <c r="BD24" s="6" t="s">
        <v>44</v>
      </c>
      <c r="BE24" s="39">
        <v>21898</v>
      </c>
      <c r="BF24" s="34">
        <v>929.33462706945875</v>
      </c>
      <c r="BG24" s="40">
        <v>638.24935469143327</v>
      </c>
      <c r="BH24" s="35">
        <v>291.08527237802537</v>
      </c>
      <c r="BI24" s="35">
        <v>929.33462706945875</v>
      </c>
      <c r="BJ24" s="40">
        <v>0</v>
      </c>
      <c r="BK24" s="35"/>
      <c r="BL24" s="35">
        <v>0</v>
      </c>
      <c r="BM24" s="35"/>
      <c r="BN24" s="35">
        <v>0</v>
      </c>
    </row>
    <row r="25" spans="2:67" x14ac:dyDescent="0.2">
      <c r="B25" t="s">
        <v>45</v>
      </c>
      <c r="C25" s="474">
        <v>19407</v>
      </c>
      <c r="D25" s="209">
        <f>'table 1 &amp; 2'!B66/'Tables 9 &amp; 10'!$C$25</f>
        <v>1387.4090864121192</v>
      </c>
      <c r="E25" s="87">
        <f>'table 1 &amp; 2'!C66/'Tables 9 &amp; 10'!$C$25</f>
        <v>1196.4611176379656</v>
      </c>
      <c r="F25" s="78">
        <f>'table 1 &amp; 2'!D66/'Tables 9 &amp; 10'!$C$25</f>
        <v>190.94796877415365</v>
      </c>
      <c r="G25" s="78">
        <f>'table 1 &amp; 2'!E66/'Tables 9 &amp; 10'!$C$25</f>
        <v>1387.4090864121192</v>
      </c>
      <c r="H25" s="87">
        <f>'table 1 &amp; 2'!F66/'Tables 9 &amp; 10'!$C$25</f>
        <v>0</v>
      </c>
      <c r="I25" s="78">
        <f>'table 1 &amp; 2'!G66/'Tables 9 &amp; 10'!$C$25</f>
        <v>0</v>
      </c>
      <c r="J25" s="78">
        <f>'table 1 &amp; 2'!H66/'Tables 9 &amp; 10'!$C$25</f>
        <v>0</v>
      </c>
      <c r="L25" t="s">
        <v>45</v>
      </c>
      <c r="M25" s="343">
        <f t="shared" si="2"/>
        <v>19407</v>
      </c>
      <c r="N25" s="344">
        <f t="shared" si="0"/>
        <v>20</v>
      </c>
      <c r="O25" s="306">
        <f t="shared" si="1"/>
        <v>9.1305661073310812E-3</v>
      </c>
      <c r="Q25" s="312"/>
      <c r="R25" s="329"/>
      <c r="S25" s="306"/>
      <c r="AT25" t="s">
        <v>45</v>
      </c>
      <c r="AU25" s="169">
        <v>18150</v>
      </c>
      <c r="AV25" s="87">
        <v>924.6623763537192</v>
      </c>
      <c r="AW25" s="78">
        <v>778.87098290468327</v>
      </c>
      <c r="AX25" s="78">
        <v>145.79139344903581</v>
      </c>
      <c r="AY25" s="78">
        <v>924.6623763537192</v>
      </c>
      <c r="AZ25" s="78">
        <v>0</v>
      </c>
      <c r="BA25" s="78">
        <v>0</v>
      </c>
      <c r="BB25" s="78">
        <v>0</v>
      </c>
      <c r="BD25" s="8" t="s">
        <v>45</v>
      </c>
      <c r="BE25" s="36">
        <v>19864</v>
      </c>
      <c r="BF25" s="37">
        <v>651.12501804118017</v>
      </c>
      <c r="BG25" s="45">
        <v>537.75977843586395</v>
      </c>
      <c r="BH25" s="38">
        <v>113.36523960531616</v>
      </c>
      <c r="BI25" s="38">
        <v>651.12501804118017</v>
      </c>
      <c r="BJ25" s="45">
        <v>0</v>
      </c>
      <c r="BK25" s="38"/>
      <c r="BL25" s="38">
        <v>0</v>
      </c>
      <c r="BM25" s="38"/>
      <c r="BN25" s="38">
        <v>0</v>
      </c>
      <c r="BO25" s="38"/>
    </row>
    <row r="26" spans="2:67" x14ac:dyDescent="0.2">
      <c r="B26" s="52" t="s">
        <v>46</v>
      </c>
      <c r="C26" s="475">
        <v>25407</v>
      </c>
      <c r="D26" s="208">
        <f>'table 1 &amp; 2'!B67/'Tables 9 &amp; 10'!$C$26</f>
        <v>673.1780253473454</v>
      </c>
      <c r="E26" s="90">
        <f>'table 1 &amp; 2'!C67/'Tables 9 &amp; 10'!$C$26</f>
        <v>289.36047860825755</v>
      </c>
      <c r="F26" s="80">
        <f>'table 1 &amp; 2'!D67/'Tables 9 &amp; 10'!$C$26</f>
        <v>383.81754673908773</v>
      </c>
      <c r="G26" s="80">
        <f>'table 1 &amp; 2'!E67/'Tables 9 &amp; 10'!$C$26</f>
        <v>673.1780253473454</v>
      </c>
      <c r="H26" s="90">
        <f>'table 1 &amp; 2'!F67/'Tables 9 &amp; 10'!$C$26</f>
        <v>0</v>
      </c>
      <c r="I26" s="80">
        <f>'table 1 &amp; 2'!G67/'Tables 9 &amp; 10'!$C$26</f>
        <v>0</v>
      </c>
      <c r="J26" s="80">
        <f>'table 1 &amp; 2'!H67/'Tables 9 &amp; 10'!$C$26</f>
        <v>0</v>
      </c>
      <c r="L26" t="s">
        <v>46</v>
      </c>
      <c r="M26" s="343">
        <f t="shared" si="2"/>
        <v>25407</v>
      </c>
      <c r="N26" s="344">
        <f t="shared" si="0"/>
        <v>18</v>
      </c>
      <c r="O26" s="306">
        <f t="shared" si="1"/>
        <v>1.1953433971709218E-2</v>
      </c>
      <c r="Q26" s="199"/>
      <c r="R26" s="328"/>
      <c r="S26" s="306"/>
      <c r="AT26" t="s">
        <v>46</v>
      </c>
      <c r="AU26" s="169">
        <v>27227</v>
      </c>
      <c r="AV26" s="87">
        <v>364.40906285235246</v>
      </c>
      <c r="AW26" s="78">
        <v>158.77315940353327</v>
      </c>
      <c r="AX26" s="78">
        <v>205.63590344881922</v>
      </c>
      <c r="AY26" s="78">
        <v>364.40906285235246</v>
      </c>
      <c r="AZ26" s="78">
        <v>0</v>
      </c>
      <c r="BA26" s="78">
        <v>0</v>
      </c>
      <c r="BB26" s="78">
        <v>0</v>
      </c>
      <c r="BD26" s="6" t="s">
        <v>46</v>
      </c>
      <c r="BE26" s="39">
        <v>26394</v>
      </c>
      <c r="BF26" s="34">
        <v>363.46963005588395</v>
      </c>
      <c r="BG26" s="40">
        <v>153.40897676199134</v>
      </c>
      <c r="BH26" s="35">
        <v>210.06065329389256</v>
      </c>
      <c r="BI26" s="35">
        <v>363.46963005588395</v>
      </c>
      <c r="BJ26" s="40">
        <v>0</v>
      </c>
      <c r="BK26" s="35"/>
      <c r="BL26" s="35">
        <v>0</v>
      </c>
      <c r="BM26" s="35"/>
      <c r="BN26" s="35">
        <v>0</v>
      </c>
    </row>
    <row r="27" spans="2:67" x14ac:dyDescent="0.2">
      <c r="B27" t="s">
        <v>47</v>
      </c>
      <c r="C27" s="474">
        <v>68119</v>
      </c>
      <c r="D27" s="209">
        <f>'table 1 &amp; 2'!B68/'Tables 9 &amp; 10'!$C$27</f>
        <v>355.80789882411659</v>
      </c>
      <c r="E27" s="87">
        <f>'table 1 &amp; 2'!C68/'Tables 9 &amp; 10'!$C$27</f>
        <v>143.91728357726922</v>
      </c>
      <c r="F27" s="78">
        <f>'table 1 &amp; 2'!D68/'Tables 9 &amp; 10'!$C$27</f>
        <v>211.87579192295834</v>
      </c>
      <c r="G27" s="78">
        <f>'table 1 &amp; 2'!E68/'Tables 9 &amp; 10'!$C$27</f>
        <v>355.79307550022753</v>
      </c>
      <c r="H27" s="87">
        <f>'table 1 &amp; 2'!F68/'Tables 9 &amp; 10'!$C$27</f>
        <v>1.2006929050631983E-2</v>
      </c>
      <c r="I27" s="78">
        <f>'table 1 &amp; 2'!G68/'Tables 9 &amp; 10'!$C$27</f>
        <v>2.8163948384444869E-3</v>
      </c>
      <c r="J27" s="78">
        <f>'table 1 &amp; 2'!H68/'Tables 9 &amp; 10'!$C$27</f>
        <v>1.482332388907647E-2</v>
      </c>
      <c r="L27" t="s">
        <v>47</v>
      </c>
      <c r="M27" s="343">
        <f t="shared" si="2"/>
        <v>68119</v>
      </c>
      <c r="N27" s="344">
        <f t="shared" si="0"/>
        <v>9</v>
      </c>
      <c r="O27" s="306">
        <f t="shared" si="1"/>
        <v>3.2048489342262378E-2</v>
      </c>
      <c r="AT27" t="s">
        <v>47</v>
      </c>
      <c r="AU27" s="169">
        <v>70724</v>
      </c>
      <c r="AV27" s="87">
        <v>344.50362333639714</v>
      </c>
      <c r="AW27" s="78">
        <v>109.67285490905492</v>
      </c>
      <c r="AX27" s="78">
        <v>234.28310923526666</v>
      </c>
      <c r="AY27" s="78">
        <v>343.95596414432163</v>
      </c>
      <c r="AZ27" s="78">
        <v>0.46075106259756238</v>
      </c>
      <c r="BA27" s="78">
        <v>8.6908129477970705E-2</v>
      </c>
      <c r="BB27" s="78">
        <v>0.54765919207553304</v>
      </c>
      <c r="BD27" s="8" t="s">
        <v>47</v>
      </c>
      <c r="BE27" s="36">
        <v>78013</v>
      </c>
      <c r="BF27" s="37">
        <v>294.31644450998778</v>
      </c>
      <c r="BG27" s="45">
        <v>95.57230413790009</v>
      </c>
      <c r="BH27" s="38">
        <v>198.41836826203323</v>
      </c>
      <c r="BI27" s="38">
        <v>293.99067239993332</v>
      </c>
      <c r="BJ27" s="45">
        <v>0.27840459726917305</v>
      </c>
      <c r="BK27" s="38"/>
      <c r="BL27" s="38">
        <v>4.7367512785305009E-2</v>
      </c>
      <c r="BM27" s="38"/>
      <c r="BN27" s="38">
        <v>0.32577211005447809</v>
      </c>
      <c r="BO27" s="38"/>
    </row>
    <row r="28" spans="2:67" x14ac:dyDescent="0.2">
      <c r="B28" s="52" t="s">
        <v>48</v>
      </c>
      <c r="C28" s="475">
        <v>4051</v>
      </c>
      <c r="D28" s="208">
        <f>'table 1 &amp; 2'!B69/'Tables 9 &amp; 10'!$C$28</f>
        <v>1008.8303480622069</v>
      </c>
      <c r="E28" s="90">
        <f>'table 1 &amp; 2'!C69/'Tables 9 &amp; 10'!$C$28</f>
        <v>509.07787459886453</v>
      </c>
      <c r="F28" s="80">
        <f>'table 1 &amp; 2'!D69/'Tables 9 &amp; 10'!$C$28</f>
        <v>499.75247346334231</v>
      </c>
      <c r="G28" s="80">
        <f>'table 1 &amp; 2'!E69/'Tables 9 &amp; 10'!$C$28</f>
        <v>1008.8303480622069</v>
      </c>
      <c r="H28" s="90">
        <f>'table 1 &amp; 2'!F69/'Tables 9 &amp; 10'!$C$28</f>
        <v>0</v>
      </c>
      <c r="I28" s="80">
        <f>'table 1 &amp; 2'!G69/'Tables 9 &amp; 10'!$C$28</f>
        <v>0</v>
      </c>
      <c r="J28" s="80">
        <f>'table 1 &amp; 2'!H69/'Tables 9 &amp; 10'!$C$28</f>
        <v>0</v>
      </c>
      <c r="L28" t="s">
        <v>48</v>
      </c>
      <c r="M28" s="343">
        <f t="shared" si="2"/>
        <v>4051</v>
      </c>
      <c r="N28" s="344">
        <f t="shared" si="0"/>
        <v>28</v>
      </c>
      <c r="O28" s="306">
        <f t="shared" si="1"/>
        <v>1.9059062864326384E-3</v>
      </c>
      <c r="AT28" t="s">
        <v>48</v>
      </c>
      <c r="AU28" s="169">
        <v>5052</v>
      </c>
      <c r="AV28" s="87">
        <v>420.1937654792161</v>
      </c>
      <c r="AW28" s="78">
        <v>206.6360210831354</v>
      </c>
      <c r="AX28" s="78">
        <v>213.55774439608072</v>
      </c>
      <c r="AY28" s="78">
        <v>420.1937654792161</v>
      </c>
      <c r="AZ28" s="78">
        <v>0</v>
      </c>
      <c r="BA28" s="78">
        <v>0</v>
      </c>
      <c r="BB28" s="78">
        <v>0</v>
      </c>
      <c r="BD28" s="6" t="s">
        <v>48</v>
      </c>
      <c r="BE28" s="39">
        <v>5440</v>
      </c>
      <c r="BF28" s="34">
        <v>364.48776644393382</v>
      </c>
      <c r="BG28" s="40">
        <v>209.57731036783088</v>
      </c>
      <c r="BH28" s="35">
        <v>154.91045607610295</v>
      </c>
      <c r="BI28" s="35">
        <v>364.48776644393382</v>
      </c>
      <c r="BJ28" s="40">
        <v>0</v>
      </c>
      <c r="BK28" s="35"/>
      <c r="BL28" s="35">
        <v>0</v>
      </c>
      <c r="BM28" s="35"/>
      <c r="BN28" s="35">
        <v>0</v>
      </c>
    </row>
    <row r="29" spans="2:67" x14ac:dyDescent="0.2">
      <c r="B29" t="s">
        <v>49</v>
      </c>
      <c r="C29" s="474">
        <v>70368</v>
      </c>
      <c r="D29" s="209">
        <f>'table 1 &amp; 2'!B70/'Tables 9 &amp; 10'!$C$29</f>
        <v>552.62281505798092</v>
      </c>
      <c r="E29" s="87">
        <f>'table 1 &amp; 2'!C70/'Tables 9 &amp; 10'!$C$29</f>
        <v>350.19103811391545</v>
      </c>
      <c r="F29" s="78">
        <f>'table 1 &amp; 2'!D70/'Tables 9 &amp; 10'!$C$29</f>
        <v>202.43177694406546</v>
      </c>
      <c r="G29" s="78">
        <f>'table 1 &amp; 2'!E70/'Tables 9 &amp; 10'!$C$29</f>
        <v>552.62281505798092</v>
      </c>
      <c r="H29" s="87">
        <f>'table 1 &amp; 2'!F70/'Tables 9 &amp; 10'!$C$29</f>
        <v>0</v>
      </c>
      <c r="I29" s="78">
        <f>'table 1 &amp; 2'!G70/'Tables 9 &amp; 10'!$C$29</f>
        <v>0</v>
      </c>
      <c r="J29" s="78">
        <f>'table 1 &amp; 2'!H70/'Tables 9 &amp; 10'!$C$29</f>
        <v>0</v>
      </c>
      <c r="L29" t="s">
        <v>49</v>
      </c>
      <c r="M29" s="343">
        <f t="shared" si="2"/>
        <v>70368</v>
      </c>
      <c r="N29" s="344">
        <f t="shared" si="0"/>
        <v>8</v>
      </c>
      <c r="O29" s="306">
        <f t="shared" si="1"/>
        <v>3.3106594313426781E-2</v>
      </c>
      <c r="AT29" t="s">
        <v>49</v>
      </c>
      <c r="AU29" s="169">
        <v>62776</v>
      </c>
      <c r="AV29" s="87">
        <v>330.89999860277806</v>
      </c>
      <c r="AW29" s="78">
        <v>213.07352744171331</v>
      </c>
      <c r="AX29" s="78">
        <v>117.82647116106475</v>
      </c>
      <c r="AY29" s="78">
        <v>330.89999860277806</v>
      </c>
      <c r="AZ29" s="78">
        <v>0</v>
      </c>
      <c r="BA29" s="78">
        <v>0</v>
      </c>
      <c r="BB29" s="78">
        <v>0</v>
      </c>
      <c r="BD29" s="8" t="s">
        <v>49</v>
      </c>
      <c r="BE29" s="36">
        <v>63994</v>
      </c>
      <c r="BF29" s="37">
        <v>315.94268084325097</v>
      </c>
      <c r="BG29" s="45">
        <v>202.13003263215302</v>
      </c>
      <c r="BH29" s="38">
        <v>113.81264821109791</v>
      </c>
      <c r="BI29" s="38">
        <v>315.94268084325097</v>
      </c>
      <c r="BJ29" s="45">
        <v>0</v>
      </c>
      <c r="BK29" s="38"/>
      <c r="BL29" s="38">
        <v>0</v>
      </c>
      <c r="BM29" s="38"/>
      <c r="BN29" s="38">
        <v>0</v>
      </c>
      <c r="BO29" s="38"/>
    </row>
    <row r="30" spans="2:67" x14ac:dyDescent="0.2">
      <c r="B30" s="52" t="s">
        <v>50</v>
      </c>
      <c r="C30" s="475">
        <v>8454</v>
      </c>
      <c r="D30" s="208">
        <f>'table 1 &amp; 2'!B71/'Tables 9 &amp; 10'!$C$30</f>
        <v>861.50315590253138</v>
      </c>
      <c r="E30" s="90">
        <f>'table 1 &amp; 2'!C71/'Tables 9 &amp; 10'!$C$30</f>
        <v>317.80120416370949</v>
      </c>
      <c r="F30" s="80">
        <f>'table 1 &amp; 2'!D71/'Tables 9 &amp; 10'!$C$30</f>
        <v>541.44255382067672</v>
      </c>
      <c r="G30" s="80">
        <f>'table 1 &amp; 2'!E71/'Tables 9 &amp; 10'!$C$30</f>
        <v>859.24375798438609</v>
      </c>
      <c r="H30" s="90">
        <f>'table 1 &amp; 2'!F71/'Tables 9 &amp; 10'!$C$30</f>
        <v>1.8293399574166078</v>
      </c>
      <c r="I30" s="80">
        <f>'table 1 &amp; 2'!G71/'Tables 9 &amp; 10'!$C$30</f>
        <v>0.43005796072864916</v>
      </c>
      <c r="J30" s="80">
        <f>'table 1 &amp; 2'!H71/'Tables 9 &amp; 10'!$C$30</f>
        <v>2.2593979181452566</v>
      </c>
      <c r="L30" t="s">
        <v>50</v>
      </c>
      <c r="M30" s="343">
        <f t="shared" si="2"/>
        <v>8454</v>
      </c>
      <c r="N30" s="344">
        <f t="shared" si="0"/>
        <v>26</v>
      </c>
      <c r="O30" s="306">
        <f t="shared" si="1"/>
        <v>3.9774208209087938E-3</v>
      </c>
      <c r="AT30" t="s">
        <v>50</v>
      </c>
      <c r="AU30" s="169">
        <v>8929</v>
      </c>
      <c r="AV30" s="87">
        <v>412.04442727017579</v>
      </c>
      <c r="AW30" s="78">
        <v>167.80493409933922</v>
      </c>
      <c r="AX30" s="78">
        <v>234.34630028077052</v>
      </c>
      <c r="AY30" s="78">
        <v>402.15123438010971</v>
      </c>
      <c r="AZ30" s="78">
        <v>8.3411603048493674</v>
      </c>
      <c r="BA30" s="78">
        <v>1.5520325852167094</v>
      </c>
      <c r="BB30" s="78">
        <v>9.8931928900660768</v>
      </c>
      <c r="BD30" s="6" t="s">
        <v>50</v>
      </c>
      <c r="BE30" s="39">
        <v>10106</v>
      </c>
      <c r="BF30" s="34">
        <v>324.84508150593314</v>
      </c>
      <c r="BG30" s="40">
        <v>128.17109453859092</v>
      </c>
      <c r="BH30" s="35">
        <v>189.87101219879281</v>
      </c>
      <c r="BI30" s="35">
        <v>318.04210673738373</v>
      </c>
      <c r="BJ30" s="40">
        <v>5.8975470741104301</v>
      </c>
      <c r="BK30" s="35"/>
      <c r="BL30" s="35">
        <v>0.90542769443894722</v>
      </c>
      <c r="BM30" s="35"/>
      <c r="BN30" s="35">
        <v>6.8029747685493769</v>
      </c>
    </row>
    <row r="31" spans="2:67" x14ac:dyDescent="0.2">
      <c r="B31" t="s">
        <v>51</v>
      </c>
      <c r="C31" s="474">
        <v>39832</v>
      </c>
      <c r="D31" s="209">
        <f>'table 1 &amp; 2'!B72/'Tables 9 &amp; 10'!$C$31</f>
        <v>955.8516195521189</v>
      </c>
      <c r="E31" s="87">
        <f>'table 1 &amp; 2'!C72/'Tables 9 &amp; 10'!$C$31</f>
        <v>437.46239631452102</v>
      </c>
      <c r="F31" s="78">
        <f>'table 1 &amp; 2'!D72/'Tables 9 &amp; 10'!$C$31</f>
        <v>329.43470450893756</v>
      </c>
      <c r="G31" s="78">
        <f>'table 1 &amp; 2'!E72/'Tables 9 &amp; 10'!$C$31</f>
        <v>766.89710082345857</v>
      </c>
      <c r="H31" s="87">
        <f>'table 1 &amp; 2'!F72/'Tables 9 &amp; 10'!$C$31</f>
        <v>152.57694215705968</v>
      </c>
      <c r="I31" s="78">
        <f>'table 1 &amp; 2'!G72/'Tables 9 &amp; 10'!$C$31</f>
        <v>36.377576571600727</v>
      </c>
      <c r="J31" s="78">
        <f>'table 1 &amp; 2'!H72/'Tables 9 &amp; 10'!$C$31</f>
        <v>188.95451872866039</v>
      </c>
      <c r="L31" t="s">
        <v>51</v>
      </c>
      <c r="M31" s="343">
        <f t="shared" si="2"/>
        <v>39832</v>
      </c>
      <c r="N31" s="344">
        <f t="shared" si="0"/>
        <v>13</v>
      </c>
      <c r="O31" s="306">
        <f t="shared" si="1"/>
        <v>1.8740078795651656E-2</v>
      </c>
      <c r="AT31" t="s">
        <v>51</v>
      </c>
      <c r="AU31" s="169">
        <v>40692</v>
      </c>
      <c r="AV31" s="87">
        <v>1293.2772745753914</v>
      </c>
      <c r="AW31" s="78">
        <v>165.291237578959</v>
      </c>
      <c r="AX31" s="78">
        <v>171.33032916054751</v>
      </c>
      <c r="AY31" s="78">
        <v>336.62156673950653</v>
      </c>
      <c r="AZ31" s="78">
        <v>795.40959833802538</v>
      </c>
      <c r="BA31" s="78">
        <v>161.24610949785949</v>
      </c>
      <c r="BB31" s="78">
        <v>956.65570783588487</v>
      </c>
      <c r="BD31" s="8" t="s">
        <v>51</v>
      </c>
      <c r="BE31" s="36">
        <v>43024</v>
      </c>
      <c r="BF31" s="37">
        <v>1115.422739320315</v>
      </c>
      <c r="BG31" s="45">
        <v>154.16624123647264</v>
      </c>
      <c r="BH31" s="38">
        <v>156.84560144828467</v>
      </c>
      <c r="BI31" s="38">
        <v>311.01184268475731</v>
      </c>
      <c r="BJ31" s="45">
        <v>668.31261609418175</v>
      </c>
      <c r="BK31" s="38"/>
      <c r="BL31" s="38">
        <v>136.09828054137617</v>
      </c>
      <c r="BM31" s="38"/>
      <c r="BN31" s="38">
        <v>804.41089663555783</v>
      </c>
      <c r="BO31" s="38"/>
    </row>
    <row r="32" spans="2:67" x14ac:dyDescent="0.2">
      <c r="B32" s="52" t="s">
        <v>52</v>
      </c>
      <c r="C32" s="475">
        <v>18615</v>
      </c>
      <c r="D32" s="208">
        <f>'table 1 &amp; 2'!B73/'Tables 9 &amp; 10'!$C$32</f>
        <v>843.1132876712328</v>
      </c>
      <c r="E32" s="90">
        <f>'table 1 &amp; 2'!C73/'Tables 9 &amp; 10'!$C$32</f>
        <v>290.54711200644641</v>
      </c>
      <c r="F32" s="80">
        <f>'table 1 &amp; 2'!D73/'Tables 9 &amp; 10'!$C$32</f>
        <v>535.18017190437808</v>
      </c>
      <c r="G32" s="80">
        <f>'table 1 &amp; 2'!E73/'Tables 9 &amp; 10'!$C$32</f>
        <v>825.72728391082455</v>
      </c>
      <c r="H32" s="90">
        <f>'table 1 &amp; 2'!F73/'Tables 9 &amp; 10'!$C$32</f>
        <v>14.281358044587698</v>
      </c>
      <c r="I32" s="80">
        <f>'table 1 &amp; 2'!G73/'Tables 9 &amp; 10'!$C$32</f>
        <v>3.1046457158205749</v>
      </c>
      <c r="J32" s="80">
        <f>'table 1 &amp; 2'!H73/'Tables 9 &amp; 10'!$C$32</f>
        <v>17.386003760408272</v>
      </c>
      <c r="L32" t="s">
        <v>52</v>
      </c>
      <c r="M32" s="343">
        <f t="shared" si="2"/>
        <v>18615</v>
      </c>
      <c r="N32" s="344">
        <f t="shared" si="0"/>
        <v>21</v>
      </c>
      <c r="O32" s="306">
        <f t="shared" si="1"/>
        <v>8.7579475492331679E-3</v>
      </c>
      <c r="AT32" t="s">
        <v>52</v>
      </c>
      <c r="AU32" s="169">
        <v>18889</v>
      </c>
      <c r="AV32" s="87">
        <v>352.35833437681555</v>
      </c>
      <c r="AW32" s="78">
        <v>150.1287667350839</v>
      </c>
      <c r="AX32" s="78">
        <v>179.38314955037322</v>
      </c>
      <c r="AY32" s="78">
        <v>329.51191628545712</v>
      </c>
      <c r="AZ32" s="78">
        <v>19.077600023673565</v>
      </c>
      <c r="BA32" s="78">
        <v>3.7688180676848964</v>
      </c>
      <c r="BB32" s="78">
        <v>22.846418091358462</v>
      </c>
      <c r="BD32" s="6" t="s">
        <v>52</v>
      </c>
      <c r="BE32" s="39">
        <v>18771</v>
      </c>
      <c r="BF32" s="34">
        <v>333.54010740283741</v>
      </c>
      <c r="BG32" s="40">
        <v>150.00456023280591</v>
      </c>
      <c r="BH32" s="35">
        <v>170.09234668440683</v>
      </c>
      <c r="BI32" s="35">
        <v>320.09690691721278</v>
      </c>
      <c r="BJ32" s="40">
        <v>10.317190931544404</v>
      </c>
      <c r="BK32" s="35"/>
      <c r="BL32" s="35">
        <v>3.12600955408023</v>
      </c>
      <c r="BM32" s="35"/>
      <c r="BN32" s="35">
        <v>13.443200485624635</v>
      </c>
    </row>
    <row r="33" spans="2:67" x14ac:dyDescent="0.2">
      <c r="B33" t="s">
        <v>53</v>
      </c>
      <c r="C33" s="474">
        <v>120340</v>
      </c>
      <c r="D33" s="209">
        <f>'table 1 &amp; 2'!B74/'Tables 9 &amp; 10'!$C$33</f>
        <v>848.50419037726442</v>
      </c>
      <c r="E33" s="87">
        <f>'table 1 &amp; 2'!C74/'Tables 9 &amp; 10'!$C$33</f>
        <v>376.52326350340695</v>
      </c>
      <c r="F33" s="78">
        <f>'table 1 &amp; 2'!D74/'Tables 9 &amp; 10'!$C$33</f>
        <v>341.68441748379593</v>
      </c>
      <c r="G33" s="78">
        <f>'table 1 &amp; 2'!E74/'Tables 9 &amp; 10'!$C$33</f>
        <v>718.20768098720293</v>
      </c>
      <c r="H33" s="87">
        <f>'table 1 &amp; 2'!F74/'Tables 9 &amp; 10'!$C$33</f>
        <v>106.26960054844606</v>
      </c>
      <c r="I33" s="78">
        <f>'table 1 &amp; 2'!G74/'Tables 9 &amp; 10'!$C$33</f>
        <v>24.026908841615427</v>
      </c>
      <c r="J33" s="78">
        <f>'table 1 &amp; 2'!H74/'Tables 9 &amp; 10'!$C$33</f>
        <v>130.29650939006149</v>
      </c>
      <c r="L33" t="s">
        <v>53</v>
      </c>
      <c r="M33" s="343">
        <f t="shared" si="2"/>
        <v>120340</v>
      </c>
      <c r="N33" s="344">
        <f t="shared" si="0"/>
        <v>5</v>
      </c>
      <c r="O33" s="306">
        <f t="shared" si="1"/>
        <v>5.661731979987749E-2</v>
      </c>
      <c r="AT33" t="s">
        <v>53</v>
      </c>
      <c r="AU33" s="169">
        <v>122500</v>
      </c>
      <c r="AV33" s="87">
        <v>915.12940371663694</v>
      </c>
      <c r="AW33" s="78">
        <v>198.64484451884084</v>
      </c>
      <c r="AX33" s="78">
        <v>317.71658539773057</v>
      </c>
      <c r="AY33" s="78">
        <v>516.36142991657141</v>
      </c>
      <c r="AZ33" s="78">
        <v>332.15103076220623</v>
      </c>
      <c r="BA33" s="78">
        <v>66.616943037859258</v>
      </c>
      <c r="BB33" s="78">
        <v>398.76797380006553</v>
      </c>
      <c r="BD33" s="8" t="s">
        <v>53</v>
      </c>
      <c r="BE33" s="36">
        <v>126008</v>
      </c>
      <c r="BF33" s="37">
        <v>793.22356797218754</v>
      </c>
      <c r="BG33" s="45">
        <v>173.90022936583392</v>
      </c>
      <c r="BH33" s="38">
        <v>293.03431042642524</v>
      </c>
      <c r="BI33" s="38">
        <v>466.93453979225916</v>
      </c>
      <c r="BJ33" s="45">
        <v>272.36737717961665</v>
      </c>
      <c r="BK33" s="38"/>
      <c r="BL33" s="38">
        <v>53.921651000311648</v>
      </c>
      <c r="BM33" s="38"/>
      <c r="BN33" s="38">
        <v>326.28902817992838</v>
      </c>
      <c r="BO33" s="38"/>
    </row>
    <row r="34" spans="2:67" x14ac:dyDescent="0.2">
      <c r="B34" s="52" t="s">
        <v>54</v>
      </c>
      <c r="C34" s="475">
        <v>26260</v>
      </c>
      <c r="D34" s="208">
        <f>'table 1 &amp; 2'!B75/'Tables 9 &amp; 10'!$C$34</f>
        <v>709.60287509520185</v>
      </c>
      <c r="E34" s="90">
        <f>'table 1 &amp; 2'!C75/'Tables 9 &amp; 10'!$C$34</f>
        <v>428.63506207159179</v>
      </c>
      <c r="F34" s="80">
        <f>'table 1 &amp; 2'!D75/'Tables 9 &amp; 10'!$C$34</f>
        <v>280.96781302361006</v>
      </c>
      <c r="G34" s="80">
        <f>'table 1 &amp; 2'!E75/'Tables 9 &amp; 10'!$C$34</f>
        <v>709.60287509520185</v>
      </c>
      <c r="H34" s="90">
        <f>'table 1 &amp; 2'!F75/'Tables 9 &amp; 10'!$C$34</f>
        <v>0</v>
      </c>
      <c r="I34" s="80">
        <f>'table 1 &amp; 2'!G75/'Tables 9 &amp; 10'!$C$34</f>
        <v>0</v>
      </c>
      <c r="J34" s="80">
        <f>'table 1 &amp; 2'!H75/'Tables 9 &amp; 10'!$C$34</f>
        <v>0</v>
      </c>
      <c r="L34" t="s">
        <v>54</v>
      </c>
      <c r="M34" s="343">
        <f t="shared" si="2"/>
        <v>26260</v>
      </c>
      <c r="N34" s="344">
        <f t="shared" si="0"/>
        <v>17</v>
      </c>
      <c r="O34" s="306">
        <f t="shared" si="1"/>
        <v>1.2354751686428311E-2</v>
      </c>
      <c r="AT34" t="s">
        <v>54</v>
      </c>
      <c r="AU34" s="169">
        <v>28558</v>
      </c>
      <c r="AV34" s="87">
        <v>386.36238069763294</v>
      </c>
      <c r="AW34" s="78">
        <v>227.01340356943766</v>
      </c>
      <c r="AX34" s="78">
        <v>159.34897712819529</v>
      </c>
      <c r="AY34" s="78">
        <v>386.36238069763294</v>
      </c>
      <c r="AZ34" s="78">
        <v>0</v>
      </c>
      <c r="BA34" s="78">
        <v>0</v>
      </c>
      <c r="BB34" s="78">
        <v>0</v>
      </c>
      <c r="BD34" s="6" t="s">
        <v>54</v>
      </c>
      <c r="BE34" s="39">
        <v>30719</v>
      </c>
      <c r="BF34" s="34">
        <v>350.54556188407832</v>
      </c>
      <c r="BG34" s="40">
        <v>208.97099306455289</v>
      </c>
      <c r="BH34" s="35">
        <v>141.57456881952541</v>
      </c>
      <c r="BI34" s="35">
        <v>350.54556188407832</v>
      </c>
      <c r="BJ34" s="40">
        <v>0</v>
      </c>
      <c r="BK34" s="35"/>
      <c r="BL34" s="35">
        <v>0</v>
      </c>
      <c r="BM34" s="35"/>
      <c r="BN34" s="35">
        <v>0</v>
      </c>
    </row>
    <row r="35" spans="2:67" x14ac:dyDescent="0.2">
      <c r="B35" t="s">
        <v>55</v>
      </c>
      <c r="C35" s="474">
        <v>159565</v>
      </c>
      <c r="D35" s="209">
        <f>'table 1 &amp; 2'!B76/'Tables 9 &amp; 10'!$C$35</f>
        <v>1249.0088819603295</v>
      </c>
      <c r="E35" s="87">
        <f>'table 1 &amp; 2'!C76/'Tables 9 &amp; 10'!$C$35</f>
        <v>929.87645548835883</v>
      </c>
      <c r="F35" s="78">
        <f>'table 1 &amp; 2'!D76/'Tables 9 &amp; 10'!$C$35</f>
        <v>300.49029016388306</v>
      </c>
      <c r="G35" s="78">
        <f>'table 1 &amp; 2'!E76/'Tables 9 &amp; 10'!$C$35</f>
        <v>1230.3667456522419</v>
      </c>
      <c r="H35" s="87">
        <f>'table 1 &amp; 2'!F76/'Tables 9 &amp; 10'!$C$35</f>
        <v>15.112076583210603</v>
      </c>
      <c r="I35" s="78">
        <f>'table 1 &amp; 2'!G76/'Tables 9 &amp; 10'!$C$35</f>
        <v>3.5300597248770091</v>
      </c>
      <c r="J35" s="78">
        <f>'table 1 &amp; 2'!H76/'Tables 9 &amp; 10'!$C$35</f>
        <v>18.642136308087615</v>
      </c>
      <c r="L35" t="s">
        <v>55</v>
      </c>
      <c r="M35" s="343">
        <f t="shared" si="2"/>
        <v>159565</v>
      </c>
      <c r="N35" s="344">
        <f t="shared" si="0"/>
        <v>3</v>
      </c>
      <c r="O35" s="306">
        <f t="shared" si="1"/>
        <v>7.5071818463249548E-2</v>
      </c>
      <c r="AT35" t="s">
        <v>55</v>
      </c>
      <c r="AU35" s="169">
        <v>122298</v>
      </c>
      <c r="AV35" s="87">
        <v>821.96292549877342</v>
      </c>
      <c r="AW35" s="78">
        <v>605.52129221244013</v>
      </c>
      <c r="AX35" s="78">
        <v>214.36792043921403</v>
      </c>
      <c r="AY35" s="78">
        <v>819.88921265165413</v>
      </c>
      <c r="AZ35" s="78">
        <v>1.7133792731498469</v>
      </c>
      <c r="BA35" s="78">
        <v>0.36033357396932075</v>
      </c>
      <c r="BB35" s="78">
        <v>2.0737128471191677</v>
      </c>
      <c r="BD35" s="8" t="s">
        <v>55</v>
      </c>
      <c r="BE35" s="36">
        <v>107104</v>
      </c>
      <c r="BF35" s="37">
        <v>764.94985091544572</v>
      </c>
      <c r="BG35" s="45">
        <v>548.00136399102735</v>
      </c>
      <c r="BH35" s="38">
        <v>215.25792269680872</v>
      </c>
      <c r="BI35" s="38">
        <v>763.25928668783604</v>
      </c>
      <c r="BJ35" s="45">
        <v>1.4020882493718256</v>
      </c>
      <c r="BK35" s="38"/>
      <c r="BL35" s="38">
        <v>0.28847597823797427</v>
      </c>
      <c r="BM35" s="38"/>
      <c r="BN35" s="38">
        <v>1.6905642276097999</v>
      </c>
      <c r="BO35" s="38"/>
    </row>
    <row r="36" spans="2:67" x14ac:dyDescent="0.2">
      <c r="B36" s="52" t="s">
        <v>56</v>
      </c>
      <c r="C36" s="475">
        <v>156907</v>
      </c>
      <c r="D36" s="208">
        <f>'table 1 &amp; 2'!B77/'Tables 9 &amp; 10'!$C$36</f>
        <v>1391.398833066721</v>
      </c>
      <c r="E36" s="90">
        <f>'table 1 &amp; 2'!C77/'Tables 9 &amp; 10'!$C$36</f>
        <v>1039.3929414239008</v>
      </c>
      <c r="F36" s="80">
        <f>'table 1 &amp; 2'!D77/'Tables 9 &amp; 10'!$C$36</f>
        <v>352.00589164282025</v>
      </c>
      <c r="G36" s="80">
        <f>'table 1 &amp; 2'!E77/'Tables 9 &amp; 10'!$C$36</f>
        <v>1391.398833066721</v>
      </c>
      <c r="H36" s="90">
        <f>'table 1 &amp; 2'!F77/'Tables 9 &amp; 10'!$C$36</f>
        <v>0</v>
      </c>
      <c r="I36" s="80">
        <f>'table 1 &amp; 2'!G77/'Tables 9 &amp; 10'!$C$36</f>
        <v>0</v>
      </c>
      <c r="J36" s="80">
        <f>'table 1 &amp; 2'!H77/'Tables 9 &amp; 10'!$C$36</f>
        <v>0</v>
      </c>
      <c r="L36" t="s">
        <v>56</v>
      </c>
      <c r="M36" s="343">
        <f t="shared" si="2"/>
        <v>156907</v>
      </c>
      <c r="N36" s="344">
        <f t="shared" si="0"/>
        <v>4</v>
      </c>
      <c r="O36" s="306">
        <f t="shared" si="1"/>
        <v>7.3821287999330035E-2</v>
      </c>
      <c r="AT36" t="s">
        <v>56</v>
      </c>
      <c r="AU36" s="169">
        <v>143937</v>
      </c>
      <c r="AV36" s="87">
        <v>971.91302791644978</v>
      </c>
      <c r="AW36" s="78">
        <v>654.12128290982866</v>
      </c>
      <c r="AX36" s="78">
        <v>317.79174500662106</v>
      </c>
      <c r="AY36" s="78">
        <v>971.91302791644978</v>
      </c>
      <c r="AZ36" s="78">
        <v>0</v>
      </c>
      <c r="BA36" s="78">
        <v>0</v>
      </c>
      <c r="BB36" s="78">
        <v>0</v>
      </c>
      <c r="BD36" s="6" t="s">
        <v>56</v>
      </c>
      <c r="BE36" s="39">
        <v>143306</v>
      </c>
      <c r="BF36" s="34">
        <v>950.27413177998119</v>
      </c>
      <c r="BG36" s="40">
        <v>622.27353335750774</v>
      </c>
      <c r="BH36" s="35">
        <v>328.00059842247356</v>
      </c>
      <c r="BI36" s="35">
        <v>950.27413177998119</v>
      </c>
      <c r="BJ36" s="40">
        <v>0</v>
      </c>
      <c r="BK36" s="35"/>
      <c r="BL36" s="35">
        <v>0</v>
      </c>
      <c r="BM36" s="35"/>
      <c r="BN36" s="35">
        <v>0</v>
      </c>
    </row>
    <row r="37" spans="2:67" x14ac:dyDescent="0.2">
      <c r="B37" t="s">
        <v>57</v>
      </c>
      <c r="C37" s="474">
        <v>11395</v>
      </c>
      <c r="D37" s="209">
        <f>'table 1 &amp; 2'!B78/'Tables 9 &amp; 10'!$C$37</f>
        <v>909.96484686265899</v>
      </c>
      <c r="E37" s="87">
        <f>'table 1 &amp; 2'!C78/'Tables 9 &amp; 10'!$C$37</f>
        <v>574.40728828433521</v>
      </c>
      <c r="F37" s="78">
        <f>'table 1 &amp; 2'!D78/'Tables 9 &amp; 10'!$C$37</f>
        <v>335.55755857832384</v>
      </c>
      <c r="G37" s="78">
        <f>'table 1 &amp; 2'!E78/'Tables 9 &amp; 10'!$C$37</f>
        <v>909.96484686265899</v>
      </c>
      <c r="H37" s="87">
        <f>'table 1 &amp; 2'!F78/'Tables 9 &amp; 10'!$C$37</f>
        <v>0</v>
      </c>
      <c r="I37" s="78">
        <f>'table 1 &amp; 2'!G78/'Tables 9 &amp; 10'!$C$37</f>
        <v>0</v>
      </c>
      <c r="J37" s="78">
        <f>'table 1 &amp; 2'!H78/'Tables 9 &amp; 10'!$C$37</f>
        <v>0</v>
      </c>
      <c r="L37" t="s">
        <v>57</v>
      </c>
      <c r="M37" s="343">
        <f t="shared" si="2"/>
        <v>11395</v>
      </c>
      <c r="N37" s="344">
        <f t="shared" si="0"/>
        <v>25</v>
      </c>
      <c r="O37" s="306">
        <f t="shared" si="1"/>
        <v>5.3610965524314774E-3</v>
      </c>
      <c r="AT37" t="s">
        <v>57</v>
      </c>
      <c r="AU37" s="169">
        <v>12437</v>
      </c>
      <c r="AV37" s="87">
        <v>478.60597934333032</v>
      </c>
      <c r="AW37" s="78">
        <v>267.82150710235589</v>
      </c>
      <c r="AX37" s="78">
        <v>210.78447224097451</v>
      </c>
      <c r="AY37" s="78">
        <v>478.60597934333032</v>
      </c>
      <c r="AZ37" s="78">
        <v>0</v>
      </c>
      <c r="BA37" s="78">
        <v>0</v>
      </c>
      <c r="BB37" s="78">
        <v>0</v>
      </c>
      <c r="BD37" s="8" t="s">
        <v>57</v>
      </c>
      <c r="BE37" s="36">
        <v>13657</v>
      </c>
      <c r="BF37" s="37">
        <v>399.82007505396496</v>
      </c>
      <c r="BG37" s="45">
        <v>224.82767588196529</v>
      </c>
      <c r="BH37" s="38">
        <v>174.99239917199969</v>
      </c>
      <c r="BI37" s="38">
        <v>399.82007505396496</v>
      </c>
      <c r="BJ37" s="45">
        <v>0</v>
      </c>
      <c r="BK37" s="38"/>
      <c r="BL37" s="38">
        <v>0</v>
      </c>
      <c r="BM37" s="38"/>
      <c r="BN37" s="38">
        <v>0</v>
      </c>
      <c r="BO37" s="38"/>
    </row>
    <row r="38" spans="2:67" x14ac:dyDescent="0.2">
      <c r="B38" s="52" t="s">
        <v>58</v>
      </c>
      <c r="C38" s="475">
        <v>15838</v>
      </c>
      <c r="D38" s="208">
        <f>'table 1 &amp; 2'!B79/'Tables 9 &amp; 10'!$C$38</f>
        <v>768.8405316327819</v>
      </c>
      <c r="E38" s="90">
        <f>'table 1 &amp; 2'!C79/'Tables 9 &amp; 10'!$C$38</f>
        <v>385.99588016163659</v>
      </c>
      <c r="F38" s="80">
        <f>'table 1 &amp; 2'!D79/'Tables 9 &amp; 10'!$C$38</f>
        <v>382.84465147114537</v>
      </c>
      <c r="G38" s="80">
        <f>'table 1 &amp; 2'!E79/'Tables 9 &amp; 10'!$C$38</f>
        <v>768.8405316327819</v>
      </c>
      <c r="H38" s="90">
        <f>'table 1 &amp; 2'!F79/'Tables 9 &amp; 10'!$C$38</f>
        <v>0</v>
      </c>
      <c r="I38" s="80">
        <f>'table 1 &amp; 2'!G79/'Tables 9 &amp; 10'!$C$38</f>
        <v>0</v>
      </c>
      <c r="J38" s="80">
        <f>'table 1 &amp; 2'!H79/'Tables 9 &amp; 10'!$C$38</f>
        <v>0</v>
      </c>
      <c r="L38" t="s">
        <v>58</v>
      </c>
      <c r="M38" s="343">
        <f t="shared" si="2"/>
        <v>15838</v>
      </c>
      <c r="N38" s="344">
        <f t="shared" si="0"/>
        <v>23</v>
      </c>
      <c r="O38" s="306">
        <f t="shared" si="1"/>
        <v>7.451430206003487E-3</v>
      </c>
      <c r="AT38" t="s">
        <v>58</v>
      </c>
      <c r="AU38" s="169">
        <v>18180</v>
      </c>
      <c r="AV38" s="87">
        <v>384.58049137068201</v>
      </c>
      <c r="AW38" s="78">
        <v>182.45634543657866</v>
      </c>
      <c r="AX38" s="78">
        <v>202.12414593410341</v>
      </c>
      <c r="AY38" s="78">
        <v>384.58049137068201</v>
      </c>
      <c r="AZ38" s="78">
        <v>0</v>
      </c>
      <c r="BA38" s="78">
        <v>0</v>
      </c>
      <c r="BB38" s="78">
        <v>0</v>
      </c>
      <c r="BD38" s="6" t="s">
        <v>58</v>
      </c>
      <c r="BE38" s="39">
        <v>18513</v>
      </c>
      <c r="BF38" s="34">
        <v>348.83695627029653</v>
      </c>
      <c r="BG38" s="40">
        <v>169.09208859223247</v>
      </c>
      <c r="BH38" s="35">
        <v>179.74486767806405</v>
      </c>
      <c r="BI38" s="35">
        <v>348.83695627029653</v>
      </c>
      <c r="BJ38" s="40">
        <v>0</v>
      </c>
      <c r="BK38" s="35"/>
      <c r="BL38" s="35">
        <v>0</v>
      </c>
      <c r="BM38" s="35"/>
      <c r="BN38" s="35">
        <v>0</v>
      </c>
    </row>
    <row r="39" spans="2:67" x14ac:dyDescent="0.2">
      <c r="B39" t="s">
        <v>59</v>
      </c>
      <c r="C39" s="474">
        <v>34564</v>
      </c>
      <c r="D39" s="209">
        <f>'table 1 &amp; 2'!B80/'Tables 9 &amp; 10'!$C$39</f>
        <v>1117.9583242680244</v>
      </c>
      <c r="E39" s="87">
        <f>'table 1 &amp; 2'!C80/'Tables 9 &amp; 10'!$C$39</f>
        <v>613.38986488832313</v>
      </c>
      <c r="F39" s="78">
        <f>'table 1 &amp; 2'!D80/'Tables 9 &amp; 10'!$C$39</f>
        <v>504.56845937970144</v>
      </c>
      <c r="G39" s="78">
        <f>'table 1 &amp; 2'!E80/'Tables 9 &amp; 10'!$C$39</f>
        <v>1117.9583242680244</v>
      </c>
      <c r="H39" s="87">
        <f>'table 1 &amp; 2'!F80/'Tables 9 &amp; 10'!$C$39</f>
        <v>0</v>
      </c>
      <c r="I39" s="78">
        <f>'table 1 &amp; 2'!G80/'Tables 9 &amp; 10'!$C$39</f>
        <v>0</v>
      </c>
      <c r="J39" s="78">
        <f>'table 1 &amp; 2'!H80/'Tables 9 &amp; 10'!$C$39</f>
        <v>0</v>
      </c>
      <c r="L39" t="s">
        <v>59</v>
      </c>
      <c r="M39" s="343">
        <f t="shared" si="2"/>
        <v>34564</v>
      </c>
      <c r="N39" s="344">
        <f t="shared" si="0"/>
        <v>14</v>
      </c>
      <c r="O39" s="306">
        <f t="shared" si="1"/>
        <v>1.6261600810727649E-2</v>
      </c>
      <c r="AT39" t="s">
        <v>59</v>
      </c>
      <c r="AU39" s="169">
        <v>31546</v>
      </c>
      <c r="AV39" s="87">
        <v>613.007355243137</v>
      </c>
      <c r="AW39" s="78">
        <v>325.39702816946675</v>
      </c>
      <c r="AX39" s="78">
        <v>287.61032707367019</v>
      </c>
      <c r="AY39" s="78">
        <v>613.007355243137</v>
      </c>
      <c r="AZ39" s="78">
        <v>0</v>
      </c>
      <c r="BA39" s="78">
        <v>0</v>
      </c>
      <c r="BB39" s="78">
        <v>0</v>
      </c>
      <c r="BD39" s="8" t="s">
        <v>59</v>
      </c>
      <c r="BE39" s="36">
        <v>31931</v>
      </c>
      <c r="BF39" s="37">
        <v>546.60620910187595</v>
      </c>
      <c r="BG39" s="45">
        <v>293.53984622714597</v>
      </c>
      <c r="BH39" s="38">
        <v>253.06636287472995</v>
      </c>
      <c r="BI39" s="38">
        <v>546.60620910187595</v>
      </c>
      <c r="BJ39" s="45">
        <v>0</v>
      </c>
      <c r="BK39" s="38"/>
      <c r="BL39" s="38">
        <v>0</v>
      </c>
      <c r="BM39" s="38"/>
      <c r="BN39" s="38">
        <v>0</v>
      </c>
      <c r="BO39" s="38"/>
    </row>
    <row r="40" spans="2:67" x14ac:dyDescent="0.2">
      <c r="B40" s="52" t="s">
        <v>60</v>
      </c>
      <c r="C40" s="475">
        <v>16100</v>
      </c>
      <c r="D40" s="208">
        <f>'table 1 &amp; 2'!B81/'Tables 9 &amp; 10'!$C$40</f>
        <v>841.26223478260863</v>
      </c>
      <c r="E40" s="90">
        <f>'table 1 &amp; 2'!C81/'Tables 9 &amp; 10'!$C$40</f>
        <v>345.73273788819876</v>
      </c>
      <c r="F40" s="80">
        <f>'table 1 &amp; 2'!D81/'Tables 9 &amp; 10'!$C$40</f>
        <v>495.52949689440982</v>
      </c>
      <c r="G40" s="80">
        <f>'table 1 &amp; 2'!E81/'Tables 9 &amp; 10'!$C$40</f>
        <v>841.26223478260863</v>
      </c>
      <c r="H40" s="90">
        <f>'table 1 &amp; 2'!F81/'Tables 9 &amp; 10'!$C$40</f>
        <v>0</v>
      </c>
      <c r="I40" s="80">
        <f>'table 1 &amp; 2'!G81/'Tables 9 &amp; 10'!$C$40</f>
        <v>0</v>
      </c>
      <c r="J40" s="80">
        <f>'table 1 &amp; 2'!H81/'Tables 9 &amp; 10'!$C$40</f>
        <v>0</v>
      </c>
      <c r="L40" t="s">
        <v>60</v>
      </c>
      <c r="M40" s="343">
        <f t="shared" si="2"/>
        <v>16100</v>
      </c>
      <c r="N40" s="344">
        <f t="shared" si="0"/>
        <v>22</v>
      </c>
      <c r="O40" s="306">
        <f t="shared" si="1"/>
        <v>7.5746954360813327E-3</v>
      </c>
      <c r="AT40" t="s">
        <v>60</v>
      </c>
      <c r="AU40" s="169">
        <v>16269</v>
      </c>
      <c r="AV40" s="87">
        <v>473.84358114868769</v>
      </c>
      <c r="AW40" s="78">
        <v>208.71997107855432</v>
      </c>
      <c r="AX40" s="78">
        <v>265.1236100701334</v>
      </c>
      <c r="AY40" s="78">
        <v>473.84358114868769</v>
      </c>
      <c r="AZ40" s="78">
        <v>0</v>
      </c>
      <c r="BA40" s="78">
        <v>0</v>
      </c>
      <c r="BB40" s="78">
        <v>0</v>
      </c>
      <c r="BD40" s="6" t="s">
        <v>60</v>
      </c>
      <c r="BE40" s="39">
        <v>18282</v>
      </c>
      <c r="BF40" s="34">
        <v>393.07822185313427</v>
      </c>
      <c r="BG40" s="40">
        <v>177.2708674515917</v>
      </c>
      <c r="BH40" s="35">
        <v>215.80735440154251</v>
      </c>
      <c r="BI40" s="35">
        <v>393.07822185313427</v>
      </c>
      <c r="BJ40" s="40">
        <v>0</v>
      </c>
      <c r="BK40" s="35"/>
      <c r="BL40" s="35">
        <v>0</v>
      </c>
      <c r="BM40" s="35"/>
      <c r="BN40" s="35">
        <v>0</v>
      </c>
    </row>
    <row r="41" spans="2:67" x14ac:dyDescent="0.2">
      <c r="B41" t="s">
        <v>61</v>
      </c>
      <c r="C41" s="474">
        <v>3844</v>
      </c>
      <c r="D41" s="209">
        <f>'table 1 &amp; 2'!B82/'Tables 9 &amp; 10'!$C$41</f>
        <v>1351.2780645161292</v>
      </c>
      <c r="E41" s="87">
        <f>'table 1 &amp; 2'!C82/'Tables 9 &amp; 10'!$C$41</f>
        <v>309.64414932362126</v>
      </c>
      <c r="F41" s="78">
        <f>'table 1 &amp; 2'!D82/'Tables 9 &amp; 10'!$C$41</f>
        <v>998.05729448491172</v>
      </c>
      <c r="G41" s="78">
        <f>'table 1 &amp; 2'!E82/'Tables 9 &amp; 10'!$C$41</f>
        <v>1307.701443808533</v>
      </c>
      <c r="H41" s="87">
        <f>'table 1 &amp; 2'!F82/'Tables 9 &amp; 10'!$C$41</f>
        <v>35.691279916753381</v>
      </c>
      <c r="I41" s="78">
        <f>'table 1 &amp; 2'!G82/'Tables 9 &amp; 10'!$C$41</f>
        <v>7.8853407908428723</v>
      </c>
      <c r="J41" s="78">
        <f>'table 1 &amp; 2'!H82/'Tables 9 &amp; 10'!$C$41</f>
        <v>43.576620707596255</v>
      </c>
      <c r="L41" t="s">
        <v>61</v>
      </c>
      <c r="M41" s="343">
        <f t="shared" si="2"/>
        <v>3844</v>
      </c>
      <c r="N41" s="344">
        <f t="shared" si="0"/>
        <v>30</v>
      </c>
      <c r="O41" s="306">
        <f t="shared" si="1"/>
        <v>1.8085173451115927E-3</v>
      </c>
      <c r="AT41" t="s">
        <v>61</v>
      </c>
      <c r="AU41" s="169">
        <v>3777</v>
      </c>
      <c r="AV41" s="87">
        <v>788.27263535001316</v>
      </c>
      <c r="AW41" s="78">
        <v>151.437810923749</v>
      </c>
      <c r="AX41" s="78">
        <v>502.9508698588827</v>
      </c>
      <c r="AY41" s="78">
        <v>654.3886807826317</v>
      </c>
      <c r="AZ41" s="78">
        <v>112.93955661900979</v>
      </c>
      <c r="BA41" s="78">
        <v>20.944397948371726</v>
      </c>
      <c r="BB41" s="78">
        <v>133.88395456738152</v>
      </c>
      <c r="BD41" s="8" t="s">
        <v>61</v>
      </c>
      <c r="BE41" s="36">
        <v>4315</v>
      </c>
      <c r="BF41" s="37">
        <v>561.25537524971026</v>
      </c>
      <c r="BG41" s="45">
        <v>122.20839457798378</v>
      </c>
      <c r="BH41" s="38">
        <v>335.65492245028963</v>
      </c>
      <c r="BI41" s="38">
        <v>457.8633170282734</v>
      </c>
      <c r="BJ41" s="45">
        <v>89.651557711587486</v>
      </c>
      <c r="BK41" s="38"/>
      <c r="BL41" s="38">
        <v>13.740500509849362</v>
      </c>
      <c r="BM41" s="38"/>
      <c r="BN41" s="38">
        <v>103.39205822143686</v>
      </c>
      <c r="BO41" s="38"/>
    </row>
    <row r="42" spans="2:67" x14ac:dyDescent="0.2">
      <c r="B42" s="52" t="s">
        <v>62</v>
      </c>
      <c r="C42" s="477">
        <v>82013</v>
      </c>
      <c r="D42" s="208">
        <f>'table 1 &amp; 2'!B83/'Tables 9 &amp; 10'!$C$42</f>
        <v>884.81802970260821</v>
      </c>
      <c r="E42" s="90">
        <f>'table 1 &amp; 2'!C83/'Tables 9 &amp; 10'!$C$42</f>
        <v>584.94657249460454</v>
      </c>
      <c r="F42" s="206">
        <f>'table 1 &amp; 2'!D83/'Tables 9 &amp; 10'!$C$42</f>
        <v>299.87145720800368</v>
      </c>
      <c r="G42" s="206">
        <f>'table 1 &amp; 2'!E83/'Tables 9 &amp; 10'!$C$42</f>
        <v>884.81802970260821</v>
      </c>
      <c r="H42" s="90">
        <f>'table 1 &amp; 2'!F83/'Tables 9 &amp; 10'!$C$42</f>
        <v>0</v>
      </c>
      <c r="I42" s="206">
        <f>'table 1 &amp; 2'!G83/'Tables 9 &amp; 10'!$C$42</f>
        <v>0</v>
      </c>
      <c r="J42" s="206">
        <f>'table 1 &amp; 2'!H83/'Tables 9 &amp; 10'!$C$42</f>
        <v>0</v>
      </c>
      <c r="L42" s="392" t="s">
        <v>62</v>
      </c>
      <c r="M42" s="393">
        <f t="shared" si="2"/>
        <v>82013</v>
      </c>
      <c r="N42" s="394">
        <f t="shared" si="0"/>
        <v>6</v>
      </c>
      <c r="O42" s="395">
        <f t="shared" si="1"/>
        <v>3.8585310360207348E-2</v>
      </c>
      <c r="AT42" t="s">
        <v>62</v>
      </c>
      <c r="AU42" s="194">
        <v>72207</v>
      </c>
      <c r="AV42" s="87">
        <v>487.13650477222433</v>
      </c>
      <c r="AW42" s="195">
        <v>324.43120309627875</v>
      </c>
      <c r="AX42" s="195">
        <v>162.70530167594558</v>
      </c>
      <c r="AY42" s="195">
        <v>487.13650477222433</v>
      </c>
      <c r="AZ42" s="195">
        <v>0</v>
      </c>
      <c r="BA42" s="195">
        <v>0</v>
      </c>
      <c r="BB42" s="195">
        <v>0</v>
      </c>
      <c r="BD42" s="6" t="s">
        <v>62</v>
      </c>
      <c r="BE42" s="39">
        <v>71459</v>
      </c>
      <c r="BF42" s="40">
        <v>452.96575697250171</v>
      </c>
      <c r="BG42" s="40">
        <v>305.53405677767671</v>
      </c>
      <c r="BH42" s="35">
        <v>147.431700194825</v>
      </c>
      <c r="BI42" s="35">
        <v>452.96575697250171</v>
      </c>
      <c r="BJ42" s="40">
        <v>0</v>
      </c>
      <c r="BK42" s="35"/>
      <c r="BL42" s="35">
        <v>0</v>
      </c>
      <c r="BM42" s="35"/>
      <c r="BN42" s="35">
        <v>0</v>
      </c>
    </row>
    <row r="43" spans="2:67" ht="13.5" thickBot="1" x14ac:dyDescent="0.25">
      <c r="B43" s="23" t="s">
        <v>392</v>
      </c>
      <c r="C43" s="478">
        <f>SUM(C10:C42)</f>
        <v>2125498</v>
      </c>
      <c r="D43" s="323">
        <f>'table 1 &amp; 2'!B84/'Tables 9 &amp; 10'!$C$43</f>
        <v>1474.955891536948</v>
      </c>
      <c r="E43" s="205">
        <f>'table 1 &amp; 2'!C84/'Tables 9 &amp; 10'!$C$43</f>
        <v>730.48123132084788</v>
      </c>
      <c r="F43" s="198">
        <f>'table 1 &amp; 2'!D84/'Tables 9 &amp; 10'!$C$43</f>
        <v>371.71941678138489</v>
      </c>
      <c r="G43" s="198">
        <f>'table 1 &amp; 2'!E84/'Tables 9 &amp; 10'!$C$43</f>
        <v>1102.2006481022327</v>
      </c>
      <c r="H43" s="205">
        <f>'table 1 &amp; 2'!F84/'Tables 9 &amp; 10'!$C$43</f>
        <v>303.21676219878822</v>
      </c>
      <c r="I43" s="198">
        <f>'table 1 &amp; 2'!G84/'Tables 9 &amp; 10'!$C$43</f>
        <v>69.538481235926824</v>
      </c>
      <c r="J43" s="198">
        <f>'table 1 &amp; 2'!H84/'Tables 9 &amp; 10'!$C$43</f>
        <v>372.75524343471511</v>
      </c>
      <c r="L43" s="396" t="s">
        <v>8</v>
      </c>
      <c r="M43" s="397">
        <f>C43</f>
        <v>2125498</v>
      </c>
      <c r="N43" s="398"/>
      <c r="O43" s="399">
        <f>SUM(O10:O42)</f>
        <v>1</v>
      </c>
      <c r="AT43" s="77" t="s">
        <v>392</v>
      </c>
      <c r="AU43" s="196">
        <v>1984356</v>
      </c>
      <c r="AV43" s="197">
        <v>764.52113160472038</v>
      </c>
      <c r="AW43" s="198">
        <v>412.31758749286041</v>
      </c>
      <c r="AX43" s="198">
        <v>244.22312029608756</v>
      </c>
      <c r="AY43" s="198">
        <v>656.54070778894834</v>
      </c>
      <c r="AZ43" s="198">
        <v>90.437117535066847</v>
      </c>
      <c r="BA43" s="198">
        <v>17.543306280705121</v>
      </c>
      <c r="BB43" s="198">
        <v>107.98042381577197</v>
      </c>
      <c r="BD43" s="23" t="s">
        <v>68</v>
      </c>
      <c r="BE43" s="41">
        <v>1969292</v>
      </c>
      <c r="BF43" s="42">
        <v>708.02421919937342</v>
      </c>
      <c r="BG43" s="42">
        <v>385.71828053197186</v>
      </c>
      <c r="BH43" s="43">
        <v>234.96078920093819</v>
      </c>
      <c r="BI43" s="43">
        <v>620.67906973291031</v>
      </c>
      <c r="BJ43" s="42">
        <v>73.15929394246433</v>
      </c>
      <c r="BK43" s="43"/>
      <c r="BL43" s="43">
        <v>14.185855523998836</v>
      </c>
      <c r="BM43" s="43"/>
      <c r="BN43" s="43">
        <v>87.34514946646317</v>
      </c>
      <c r="BO43" s="47"/>
    </row>
    <row r="44" spans="2:67" ht="15.75" customHeight="1" x14ac:dyDescent="0.2">
      <c r="B44" s="202" t="s">
        <v>573</v>
      </c>
      <c r="C44" s="168"/>
      <c r="D44" s="168"/>
      <c r="E44" s="168"/>
      <c r="F44" s="168"/>
      <c r="G44" s="168"/>
      <c r="H44" s="168"/>
      <c r="I44" s="168"/>
      <c r="J44" s="168"/>
      <c r="AT44" s="6" t="s">
        <v>393</v>
      </c>
      <c r="AU44" s="199"/>
      <c r="AV44" s="195"/>
      <c r="AW44" s="195"/>
      <c r="AX44" s="195"/>
      <c r="AY44" s="195"/>
      <c r="AZ44" s="195"/>
      <c r="BA44" s="195"/>
      <c r="BB44" s="195"/>
    </row>
    <row r="45" spans="2:67" ht="14.25" customHeight="1" x14ac:dyDescent="0.2">
      <c r="B45" s="367" t="s">
        <v>549</v>
      </c>
      <c r="C45" s="167"/>
      <c r="D45" s="167"/>
      <c r="E45" s="167"/>
      <c r="F45" s="167"/>
      <c r="G45" s="167"/>
      <c r="H45" s="167"/>
      <c r="I45" s="167"/>
      <c r="J45" s="167"/>
      <c r="AT45" t="s">
        <v>394</v>
      </c>
    </row>
    <row r="46" spans="2:67" ht="14.25" x14ac:dyDescent="0.2">
      <c r="B46" s="66" t="s">
        <v>398</v>
      </c>
      <c r="C46" s="6"/>
      <c r="D46" s="6"/>
      <c r="E46" s="6"/>
      <c r="F46" s="6"/>
      <c r="G46" s="6"/>
      <c r="H46" s="6"/>
      <c r="I46" s="6"/>
      <c r="J46" s="6"/>
      <c r="AT46" s="66" t="s">
        <v>397</v>
      </c>
    </row>
    <row r="47" spans="2:67" ht="14.25" x14ac:dyDescent="0.2">
      <c r="B47" s="321" t="s">
        <v>542</v>
      </c>
      <c r="D47" s="66" t="s">
        <v>424</v>
      </c>
      <c r="AT47" t="s">
        <v>395</v>
      </c>
    </row>
    <row r="48" spans="2:67" x14ac:dyDescent="0.2">
      <c r="G48" s="48"/>
    </row>
    <row r="49" spans="2:24" ht="15.75" x14ac:dyDescent="0.25">
      <c r="B49" s="3" t="s">
        <v>314</v>
      </c>
      <c r="L49" s="527" t="s">
        <v>552</v>
      </c>
      <c r="M49" s="526"/>
      <c r="N49" s="526"/>
      <c r="O49" s="526"/>
      <c r="P49" s="526"/>
      <c r="Q49" s="526"/>
      <c r="R49" s="526"/>
      <c r="S49" s="526"/>
      <c r="T49" s="526"/>
      <c r="U49" s="526"/>
      <c r="V49" s="526"/>
      <c r="W49" s="526"/>
    </row>
    <row r="50" spans="2:24" ht="15.75" x14ac:dyDescent="0.25">
      <c r="B50" s="3" t="s">
        <v>384</v>
      </c>
      <c r="M50" s="318"/>
      <c r="N50" s="318"/>
      <c r="O50" s="318"/>
      <c r="P50" s="318"/>
      <c r="Q50" s="318"/>
      <c r="R50" s="318"/>
      <c r="S50" s="318"/>
      <c r="T50" s="318"/>
      <c r="U50" s="318"/>
      <c r="V50" s="318"/>
      <c r="W50" s="318"/>
      <c r="X50" s="318"/>
    </row>
    <row r="51" spans="2:24" ht="15.75" x14ac:dyDescent="0.25">
      <c r="B51" s="3" t="s">
        <v>27</v>
      </c>
      <c r="C51" s="3" t="str">
        <f>D2</f>
        <v>2025 Tax Year</v>
      </c>
      <c r="D51" s="7"/>
      <c r="E51" s="7"/>
      <c r="F51" s="7"/>
      <c r="L51" s="561" t="s">
        <v>578</v>
      </c>
      <c r="M51" s="560"/>
      <c r="N51" s="560"/>
      <c r="O51" s="560"/>
      <c r="P51" s="560"/>
      <c r="Q51" s="560"/>
    </row>
    <row r="52" spans="2:24" x14ac:dyDescent="0.2">
      <c r="C52" s="46" t="s">
        <v>380</v>
      </c>
      <c r="E52" s="170" t="s">
        <v>380</v>
      </c>
    </row>
    <row r="53" spans="2:24" ht="13.5" thickBot="1" x14ac:dyDescent="0.25">
      <c r="B53" s="47" t="s">
        <v>27</v>
      </c>
      <c r="C53" s="67" t="s">
        <v>381</v>
      </c>
      <c r="D53" s="47" t="s">
        <v>27</v>
      </c>
      <c r="E53" s="171" t="s">
        <v>381</v>
      </c>
      <c r="L53" s="7" t="s">
        <v>468</v>
      </c>
      <c r="M53" s="21"/>
      <c r="N53" s="337"/>
    </row>
    <row r="54" spans="2:24" x14ac:dyDescent="0.2">
      <c r="B54" s="52" t="s">
        <v>31</v>
      </c>
      <c r="C54" s="536">
        <v>0.96940000000000004</v>
      </c>
      <c r="D54" s="52" t="s">
        <v>47</v>
      </c>
      <c r="E54" s="539">
        <v>0.97430000000000005</v>
      </c>
      <c r="L54" s="338"/>
      <c r="M54" s="345"/>
      <c r="N54" s="346"/>
      <c r="O54" s="347" t="s">
        <v>331</v>
      </c>
      <c r="P54" s="338"/>
      <c r="Q54" s="345"/>
      <c r="R54" s="346"/>
      <c r="S54" s="347" t="s">
        <v>331</v>
      </c>
    </row>
    <row r="55" spans="2:24" x14ac:dyDescent="0.2">
      <c r="B55" t="s">
        <v>32</v>
      </c>
      <c r="C55" s="537">
        <v>0.94030000000000002</v>
      </c>
      <c r="D55" t="s">
        <v>48</v>
      </c>
      <c r="E55" s="540">
        <v>0.95889999999999997</v>
      </c>
      <c r="L55" s="348" t="s">
        <v>27</v>
      </c>
      <c r="M55" s="349" t="s">
        <v>411</v>
      </c>
      <c r="N55" s="350" t="s">
        <v>461</v>
      </c>
      <c r="O55" s="350" t="s">
        <v>462</v>
      </c>
      <c r="P55" s="348" t="s">
        <v>27</v>
      </c>
      <c r="Q55" s="349" t="s">
        <v>411</v>
      </c>
      <c r="R55" s="350" t="s">
        <v>461</v>
      </c>
      <c r="S55" s="350" t="s">
        <v>462</v>
      </c>
    </row>
    <row r="56" spans="2:24" x14ac:dyDescent="0.2">
      <c r="B56" s="52" t="s">
        <v>33</v>
      </c>
      <c r="C56" s="536">
        <v>0.96809999999999996</v>
      </c>
      <c r="D56" s="52" t="s">
        <v>49</v>
      </c>
      <c r="E56" s="539">
        <v>0.97370000000000001</v>
      </c>
      <c r="L56" s="338" t="str">
        <f t="shared" ref="L56:O72" si="3">L10</f>
        <v>Bernalillo</v>
      </c>
      <c r="M56" s="351">
        <f t="shared" si="3"/>
        <v>667601</v>
      </c>
      <c r="N56" s="352">
        <f t="shared" si="3"/>
        <v>1</v>
      </c>
      <c r="O56" s="353">
        <f t="shared" si="3"/>
        <v>0.31409156818778472</v>
      </c>
      <c r="P56" s="338" t="str">
        <f t="shared" ref="P56:P71" si="4">L27</f>
        <v>McKinley</v>
      </c>
      <c r="Q56" s="354">
        <f t="shared" ref="Q56:Q71" si="5">M27</f>
        <v>68119</v>
      </c>
      <c r="R56" s="352">
        <f t="shared" ref="R56:R71" si="6">N27</f>
        <v>9</v>
      </c>
      <c r="S56" s="353">
        <f t="shared" ref="S56:S71" si="7">O27</f>
        <v>3.2048489342262378E-2</v>
      </c>
    </row>
    <row r="57" spans="2:24" x14ac:dyDescent="0.2">
      <c r="B57" t="s">
        <v>34</v>
      </c>
      <c r="C57" s="537">
        <v>0.93640000000000001</v>
      </c>
      <c r="D57" t="s">
        <v>50</v>
      </c>
      <c r="E57" s="540">
        <v>0.96560000000000001</v>
      </c>
      <c r="L57" s="340" t="str">
        <f t="shared" si="3"/>
        <v>Catron</v>
      </c>
      <c r="M57" s="355">
        <f t="shared" si="3"/>
        <v>3827</v>
      </c>
      <c r="N57" s="356">
        <f t="shared" si="3"/>
        <v>31</v>
      </c>
      <c r="O57" s="339">
        <f t="shared" si="3"/>
        <v>1.8005192194958546E-3</v>
      </c>
      <c r="P57" s="340" t="str">
        <f t="shared" si="4"/>
        <v>Mora</v>
      </c>
      <c r="Q57" s="357">
        <f t="shared" si="5"/>
        <v>4051</v>
      </c>
      <c r="R57" s="356">
        <f t="shared" si="6"/>
        <v>28</v>
      </c>
      <c r="S57" s="339">
        <f t="shared" si="7"/>
        <v>1.9059062864326384E-3</v>
      </c>
    </row>
    <row r="58" spans="2:24" x14ac:dyDescent="0.2">
      <c r="B58" s="52" t="s">
        <v>35</v>
      </c>
      <c r="C58" s="536">
        <v>0.93089999999999995</v>
      </c>
      <c r="D58" s="52" t="s">
        <v>51</v>
      </c>
      <c r="E58" s="539">
        <v>0.93940000000000001</v>
      </c>
      <c r="L58" s="340" t="str">
        <f t="shared" si="3"/>
        <v>Chaves</v>
      </c>
      <c r="M58" s="355">
        <f t="shared" si="3"/>
        <v>63364</v>
      </c>
      <c r="N58" s="356">
        <f t="shared" si="3"/>
        <v>10</v>
      </c>
      <c r="O58" s="339">
        <f t="shared" si="3"/>
        <v>2.9811366559742706E-2</v>
      </c>
      <c r="P58" s="340" t="str">
        <f t="shared" si="4"/>
        <v>Otero</v>
      </c>
      <c r="Q58" s="357">
        <f t="shared" si="5"/>
        <v>70368</v>
      </c>
      <c r="R58" s="356">
        <f t="shared" si="6"/>
        <v>8</v>
      </c>
      <c r="S58" s="339">
        <f t="shared" si="7"/>
        <v>3.3106594313426781E-2</v>
      </c>
    </row>
    <row r="59" spans="2:24" x14ac:dyDescent="0.2">
      <c r="B59" t="s">
        <v>36</v>
      </c>
      <c r="C59" s="537">
        <v>0.95509999999999995</v>
      </c>
      <c r="D59" t="s">
        <v>52</v>
      </c>
      <c r="E59" s="540">
        <v>0.97929999999999995</v>
      </c>
      <c r="L59" s="340" t="str">
        <f t="shared" si="3"/>
        <v>Cibola</v>
      </c>
      <c r="M59" s="355">
        <f t="shared" si="3"/>
        <v>26807</v>
      </c>
      <c r="N59" s="356">
        <f t="shared" si="3"/>
        <v>16</v>
      </c>
      <c r="O59" s="339">
        <f t="shared" si="3"/>
        <v>1.2612103140064116E-2</v>
      </c>
      <c r="P59" s="340" t="str">
        <f t="shared" si="4"/>
        <v>Quay</v>
      </c>
      <c r="Q59" s="357">
        <f t="shared" si="5"/>
        <v>8454</v>
      </c>
      <c r="R59" s="356">
        <f t="shared" si="6"/>
        <v>26</v>
      </c>
      <c r="S59" s="339">
        <f t="shared" si="7"/>
        <v>3.9774208209087938E-3</v>
      </c>
    </row>
    <row r="60" spans="2:24" x14ac:dyDescent="0.2">
      <c r="B60" s="52" t="s">
        <v>67</v>
      </c>
      <c r="C60" s="536">
        <v>0.99019999999999997</v>
      </c>
      <c r="D60" s="52" t="s">
        <v>53</v>
      </c>
      <c r="E60" s="539">
        <v>0.98419999999999996</v>
      </c>
      <c r="L60" s="340" t="str">
        <f t="shared" si="3"/>
        <v>Colfax</v>
      </c>
      <c r="M60" s="355">
        <f t="shared" si="3"/>
        <v>12184</v>
      </c>
      <c r="N60" s="356">
        <f t="shared" si="3"/>
        <v>24</v>
      </c>
      <c r="O60" s="339">
        <f t="shared" si="3"/>
        <v>5.7323036765972021E-3</v>
      </c>
      <c r="P60" s="340" t="str">
        <f t="shared" si="4"/>
        <v>Rio Arriba</v>
      </c>
      <c r="Q60" s="357">
        <f t="shared" si="5"/>
        <v>39832</v>
      </c>
      <c r="R60" s="356">
        <f t="shared" si="6"/>
        <v>13</v>
      </c>
      <c r="S60" s="339">
        <f t="shared" si="7"/>
        <v>1.8740078795651656E-2</v>
      </c>
    </row>
    <row r="61" spans="2:24" x14ac:dyDescent="0.2">
      <c r="B61" t="s">
        <v>37</v>
      </c>
      <c r="C61" s="537">
        <v>0.97909999999999997</v>
      </c>
      <c r="D61" t="s">
        <v>54</v>
      </c>
      <c r="E61" s="540">
        <v>0.91010000000000002</v>
      </c>
      <c r="L61" s="340" t="str">
        <f t="shared" si="3"/>
        <v>Curry</v>
      </c>
      <c r="M61" s="355">
        <f t="shared" si="3"/>
        <v>46655</v>
      </c>
      <c r="N61" s="356">
        <f t="shared" si="3"/>
        <v>12</v>
      </c>
      <c r="O61" s="339">
        <f t="shared" si="3"/>
        <v>2.1950150035426993E-2</v>
      </c>
      <c r="P61" s="340" t="str">
        <f t="shared" si="4"/>
        <v>Roosevelt</v>
      </c>
      <c r="Q61" s="357">
        <f t="shared" si="5"/>
        <v>18615</v>
      </c>
      <c r="R61" s="356">
        <f t="shared" si="6"/>
        <v>21</v>
      </c>
      <c r="S61" s="339">
        <f t="shared" si="7"/>
        <v>8.7579475492331679E-3</v>
      </c>
    </row>
    <row r="62" spans="2:24" x14ac:dyDescent="0.2">
      <c r="B62" s="52" t="s">
        <v>38</v>
      </c>
      <c r="C62" s="536">
        <v>0.99199999999999999</v>
      </c>
      <c r="D62" s="52" t="s">
        <v>55</v>
      </c>
      <c r="E62" s="539">
        <v>0.97160000000000002</v>
      </c>
      <c r="L62" s="340" t="str">
        <f t="shared" si="3"/>
        <v>De Baca</v>
      </c>
      <c r="M62" s="355">
        <f t="shared" si="3"/>
        <v>1647</v>
      </c>
      <c r="N62" s="356">
        <f t="shared" si="3"/>
        <v>32</v>
      </c>
      <c r="O62" s="339">
        <f t="shared" si="3"/>
        <v>7.7487722877179837E-4</v>
      </c>
      <c r="P62" s="340" t="str">
        <f t="shared" si="4"/>
        <v>San Juan</v>
      </c>
      <c r="Q62" s="357">
        <f t="shared" si="5"/>
        <v>120340</v>
      </c>
      <c r="R62" s="356">
        <f t="shared" si="6"/>
        <v>5</v>
      </c>
      <c r="S62" s="339">
        <f t="shared" si="7"/>
        <v>5.661731979987749E-2</v>
      </c>
    </row>
    <row r="63" spans="2:24" x14ac:dyDescent="0.2">
      <c r="B63" t="s">
        <v>39</v>
      </c>
      <c r="C63" s="537">
        <v>0.93359999999999999</v>
      </c>
      <c r="D63" t="s">
        <v>56</v>
      </c>
      <c r="E63" s="540">
        <v>0.98040000000000005</v>
      </c>
      <c r="L63" s="340" t="str">
        <f t="shared" si="3"/>
        <v>Dona Ana</v>
      </c>
      <c r="M63" s="355">
        <f t="shared" si="3"/>
        <v>229091</v>
      </c>
      <c r="N63" s="356">
        <f t="shared" si="3"/>
        <v>2</v>
      </c>
      <c r="O63" s="339">
        <f t="shared" si="3"/>
        <v>0.10778227031970861</v>
      </c>
      <c r="P63" s="340" t="str">
        <f t="shared" si="4"/>
        <v>San Miguel</v>
      </c>
      <c r="Q63" s="357">
        <f t="shared" si="5"/>
        <v>26260</v>
      </c>
      <c r="R63" s="356">
        <f t="shared" si="6"/>
        <v>17</v>
      </c>
      <c r="S63" s="339">
        <f t="shared" si="7"/>
        <v>1.2354751686428311E-2</v>
      </c>
    </row>
    <row r="64" spans="2:24" x14ac:dyDescent="0.2">
      <c r="B64" s="52" t="s">
        <v>40</v>
      </c>
      <c r="C64" s="536">
        <v>0.97870000000000001</v>
      </c>
      <c r="D64" s="52" t="s">
        <v>57</v>
      </c>
      <c r="E64" s="539">
        <v>0.97460000000000002</v>
      </c>
      <c r="L64" s="340" t="str">
        <f t="shared" si="3"/>
        <v>Eddy</v>
      </c>
      <c r="M64" s="355">
        <f t="shared" si="3"/>
        <v>62509</v>
      </c>
      <c r="N64" s="356">
        <f t="shared" si="3"/>
        <v>11</v>
      </c>
      <c r="O64" s="339">
        <f t="shared" si="3"/>
        <v>2.9409107889068819E-2</v>
      </c>
      <c r="P64" s="340" t="str">
        <f t="shared" si="4"/>
        <v>Sandoval</v>
      </c>
      <c r="Q64" s="357">
        <f t="shared" si="5"/>
        <v>159565</v>
      </c>
      <c r="R64" s="356">
        <f t="shared" si="6"/>
        <v>3</v>
      </c>
      <c r="S64" s="339">
        <f t="shared" si="7"/>
        <v>7.5071818463249548E-2</v>
      </c>
    </row>
    <row r="65" spans="2:19" x14ac:dyDescent="0.2">
      <c r="B65" t="s">
        <v>41</v>
      </c>
      <c r="C65" s="537">
        <v>0.99590000000000001</v>
      </c>
      <c r="D65" t="s">
        <v>58</v>
      </c>
      <c r="E65" s="540">
        <v>0.92400000000000004</v>
      </c>
      <c r="L65" s="340" t="str">
        <f t="shared" si="3"/>
        <v>Grant</v>
      </c>
      <c r="M65" s="355">
        <f t="shared" si="3"/>
        <v>27252</v>
      </c>
      <c r="N65" s="356">
        <f t="shared" si="3"/>
        <v>15</v>
      </c>
      <c r="O65" s="339">
        <f t="shared" si="3"/>
        <v>1.2821465840005495E-2</v>
      </c>
      <c r="P65" s="340" t="str">
        <f t="shared" si="4"/>
        <v>Santa Fe</v>
      </c>
      <c r="Q65" s="357">
        <f t="shared" si="5"/>
        <v>156907</v>
      </c>
      <c r="R65" s="356">
        <f t="shared" si="6"/>
        <v>4</v>
      </c>
      <c r="S65" s="339">
        <f t="shared" si="7"/>
        <v>7.3821287999330035E-2</v>
      </c>
    </row>
    <row r="66" spans="2:19" x14ac:dyDescent="0.2">
      <c r="B66" s="52" t="s">
        <v>42</v>
      </c>
      <c r="C66" s="536">
        <v>0.97719999999999996</v>
      </c>
      <c r="D66" s="52" t="s">
        <v>59</v>
      </c>
      <c r="E66" s="539">
        <v>0.91759999999999997</v>
      </c>
      <c r="L66" s="340" t="str">
        <f t="shared" si="3"/>
        <v>Guadalupe</v>
      </c>
      <c r="M66" s="355">
        <f t="shared" si="3"/>
        <v>4343</v>
      </c>
      <c r="N66" s="356">
        <f t="shared" si="3"/>
        <v>27</v>
      </c>
      <c r="O66" s="339">
        <f t="shared" si="3"/>
        <v>2.0432858558323743E-3</v>
      </c>
      <c r="P66" s="340" t="str">
        <f t="shared" si="4"/>
        <v>Sierra</v>
      </c>
      <c r="Q66" s="357">
        <f t="shared" si="5"/>
        <v>11395</v>
      </c>
      <c r="R66" s="356">
        <f t="shared" si="6"/>
        <v>25</v>
      </c>
      <c r="S66" s="339">
        <f t="shared" si="7"/>
        <v>5.3610965524314774E-3</v>
      </c>
    </row>
    <row r="67" spans="2:19" x14ac:dyDescent="0.2">
      <c r="B67" t="s">
        <v>43</v>
      </c>
      <c r="C67" s="537">
        <v>0.99139999999999995</v>
      </c>
      <c r="D67" t="s">
        <v>60</v>
      </c>
      <c r="E67" s="540">
        <v>0.92200000000000004</v>
      </c>
      <c r="L67" s="340" t="str">
        <f t="shared" si="3"/>
        <v>Harding</v>
      </c>
      <c r="M67" s="355">
        <f t="shared" si="3"/>
        <v>617</v>
      </c>
      <c r="N67" s="356">
        <f t="shared" si="3"/>
        <v>33</v>
      </c>
      <c r="O67" s="339">
        <f t="shared" si="3"/>
        <v>2.9028491205355169E-4</v>
      </c>
      <c r="P67" s="340" t="str">
        <f t="shared" si="4"/>
        <v>Socorro</v>
      </c>
      <c r="Q67" s="357">
        <f t="shared" si="5"/>
        <v>15838</v>
      </c>
      <c r="R67" s="356">
        <f t="shared" si="6"/>
        <v>23</v>
      </c>
      <c r="S67" s="339">
        <f t="shared" si="7"/>
        <v>7.451430206003487E-3</v>
      </c>
    </row>
    <row r="68" spans="2:19" x14ac:dyDescent="0.2">
      <c r="B68" s="52" t="s">
        <v>44</v>
      </c>
      <c r="C68" s="536">
        <v>0.97640000000000005</v>
      </c>
      <c r="D68" s="52" t="s">
        <v>61</v>
      </c>
      <c r="E68" s="539">
        <v>0.98399999999999999</v>
      </c>
      <c r="L68" s="340" t="str">
        <f t="shared" si="3"/>
        <v>Hidalgo</v>
      </c>
      <c r="M68" s="355">
        <f t="shared" si="3"/>
        <v>3929</v>
      </c>
      <c r="N68" s="356">
        <f t="shared" si="3"/>
        <v>29</v>
      </c>
      <c r="O68" s="339">
        <f t="shared" si="3"/>
        <v>1.848507973190283E-3</v>
      </c>
      <c r="P68" s="340" t="str">
        <f t="shared" si="4"/>
        <v>Taos</v>
      </c>
      <c r="Q68" s="357">
        <f t="shared" si="5"/>
        <v>34564</v>
      </c>
      <c r="R68" s="356">
        <f t="shared" si="6"/>
        <v>14</v>
      </c>
      <c r="S68" s="339">
        <f t="shared" si="7"/>
        <v>1.6261600810727649E-2</v>
      </c>
    </row>
    <row r="69" spans="2:19" x14ac:dyDescent="0.2">
      <c r="B69" t="s">
        <v>45</v>
      </c>
      <c r="C69" s="537">
        <v>0.99350000000000005</v>
      </c>
      <c r="D69" t="s">
        <v>62</v>
      </c>
      <c r="E69" s="540">
        <v>0.9577</v>
      </c>
      <c r="L69" s="340" t="str">
        <f t="shared" si="3"/>
        <v>Lea</v>
      </c>
      <c r="M69" s="355">
        <f t="shared" si="3"/>
        <v>74749</v>
      </c>
      <c r="N69" s="356">
        <f t="shared" si="3"/>
        <v>7</v>
      </c>
      <c r="O69" s="339">
        <f t="shared" si="3"/>
        <v>3.5167758332400219E-2</v>
      </c>
      <c r="P69" s="340" t="str">
        <f t="shared" si="4"/>
        <v>Torrance</v>
      </c>
      <c r="Q69" s="357">
        <f t="shared" si="5"/>
        <v>16100</v>
      </c>
      <c r="R69" s="356">
        <f t="shared" si="6"/>
        <v>22</v>
      </c>
      <c r="S69" s="339">
        <f t="shared" si="7"/>
        <v>7.5746954360813327E-3</v>
      </c>
    </row>
    <row r="70" spans="2:19" ht="13.5" thickBot="1" x14ac:dyDescent="0.25">
      <c r="B70" s="69" t="s">
        <v>46</v>
      </c>
      <c r="C70" s="538">
        <v>0.92559999999999998</v>
      </c>
      <c r="D70" s="185" t="s">
        <v>382</v>
      </c>
      <c r="E70" s="479">
        <f>(SUM(C54:C70)+SUM(E54:E69))/33</f>
        <v>0.96215757575757588</v>
      </c>
      <c r="L70" s="340" t="str">
        <f t="shared" si="3"/>
        <v>Lincoln</v>
      </c>
      <c r="M70" s="355">
        <f t="shared" si="3"/>
        <v>19844</v>
      </c>
      <c r="N70" s="356">
        <f t="shared" si="3"/>
        <v>19</v>
      </c>
      <c r="O70" s="339">
        <f t="shared" si="3"/>
        <v>9.3361649834532903E-3</v>
      </c>
      <c r="P70" s="340" t="str">
        <f t="shared" si="4"/>
        <v>Union</v>
      </c>
      <c r="Q70" s="357">
        <f t="shared" si="5"/>
        <v>3844</v>
      </c>
      <c r="R70" s="356">
        <f t="shared" si="6"/>
        <v>30</v>
      </c>
      <c r="S70" s="339">
        <f t="shared" si="7"/>
        <v>1.8085173451115927E-3</v>
      </c>
    </row>
    <row r="71" spans="2:19" x14ac:dyDescent="0.2">
      <c r="B71" t="s">
        <v>383</v>
      </c>
      <c r="L71" s="340" t="str">
        <f t="shared" si="3"/>
        <v>Los Alamos</v>
      </c>
      <c r="M71" s="355">
        <f t="shared" si="3"/>
        <v>19407</v>
      </c>
      <c r="N71" s="356">
        <f t="shared" si="3"/>
        <v>20</v>
      </c>
      <c r="O71" s="339">
        <f t="shared" si="3"/>
        <v>9.1305661073310812E-3</v>
      </c>
      <c r="P71" s="340" t="str">
        <f t="shared" si="4"/>
        <v>Valencia</v>
      </c>
      <c r="Q71" s="357">
        <f t="shared" si="5"/>
        <v>82013</v>
      </c>
      <c r="R71" s="356">
        <f t="shared" si="6"/>
        <v>6</v>
      </c>
      <c r="S71" s="339">
        <f t="shared" si="7"/>
        <v>3.8585310360207348E-2</v>
      </c>
    </row>
    <row r="72" spans="2:19" x14ac:dyDescent="0.2">
      <c r="B72" s="321" t="s">
        <v>493</v>
      </c>
      <c r="L72" s="342" t="str">
        <f t="shared" si="3"/>
        <v>Luna</v>
      </c>
      <c r="M72" s="358">
        <f t="shared" si="3"/>
        <v>25407</v>
      </c>
      <c r="N72" s="359">
        <f t="shared" si="3"/>
        <v>18</v>
      </c>
      <c r="O72" s="341">
        <f t="shared" si="3"/>
        <v>1.1953433971709218E-2</v>
      </c>
      <c r="P72" s="360" t="s">
        <v>467</v>
      </c>
      <c r="Q72" s="361">
        <f>SUM(M56:M72)+SUM(Q56:Q71)</f>
        <v>2125498</v>
      </c>
      <c r="R72" s="359">
        <f>N43</f>
        <v>0</v>
      </c>
      <c r="S72" s="341">
        <f>O43</f>
        <v>1</v>
      </c>
    </row>
    <row r="73" spans="2:19" ht="21" x14ac:dyDescent="0.25">
      <c r="B73" s="321" t="s">
        <v>494</v>
      </c>
      <c r="L73" s="528" t="str">
        <f>B44</f>
        <v>1Source: New Mexico Population Estimates for Counties from US Census Bureau as of July 1, 2025</v>
      </c>
    </row>
    <row r="74" spans="2:19" x14ac:dyDescent="0.2">
      <c r="B74" s="321" t="s">
        <v>495</v>
      </c>
      <c r="L74" s="367" t="s">
        <v>549</v>
      </c>
    </row>
    <row r="75" spans="2:19" x14ac:dyDescent="0.2">
      <c r="B75" s="321" t="s">
        <v>475</v>
      </c>
    </row>
    <row r="77" spans="2:19" ht="13.5" thickBot="1" x14ac:dyDescent="0.25">
      <c r="L77" s="559" t="s">
        <v>579</v>
      </c>
      <c r="M77" s="560"/>
      <c r="N77" s="560"/>
      <c r="O77" s="560"/>
    </row>
    <row r="78" spans="2:19" ht="13.5" thickBot="1" x14ac:dyDescent="0.25">
      <c r="L78" s="566">
        <f>(M56+M63+Q64+Q65)/Q72</f>
        <v>0.57076694497007285</v>
      </c>
      <c r="M78" s="567" t="s">
        <v>531</v>
      </c>
      <c r="N78" s="564"/>
      <c r="O78" s="565"/>
      <c r="Q78" s="318" t="str">
        <f>IF(Q72=C43,"OK","ERROR")</f>
        <v>OK</v>
      </c>
    </row>
    <row r="79" spans="2:19" x14ac:dyDescent="0.2">
      <c r="B79" s="633">
        <f>+'Table 8'!B46:G46+1</f>
        <v>13</v>
      </c>
      <c r="C79" s="633"/>
      <c r="D79" s="633"/>
      <c r="E79" s="633"/>
      <c r="F79" s="633"/>
      <c r="G79" s="633"/>
      <c r="H79" s="633"/>
      <c r="I79" s="633"/>
      <c r="J79" s="633"/>
    </row>
  </sheetData>
  <sortState xmlns:xlrd2="http://schemas.microsoft.com/office/spreadsheetml/2017/richdata2" ref="L11:O42">
    <sortCondition ref="L11:L42"/>
  </sortState>
  <mergeCells count="1">
    <mergeCell ref="B79:J79"/>
  </mergeCells>
  <phoneticPr fontId="0" type="noConversion"/>
  <hyperlinks>
    <hyperlink ref="B45" r:id="rId1" xr:uid="{8FBD3692-4DD0-409F-B7EB-29AA08781DD4}"/>
    <hyperlink ref="L74" r:id="rId2" xr:uid="{9EB867A5-17C5-4FF2-8D32-077A8501E1D3}"/>
  </hyperlinks>
  <printOptions horizontalCentered="1"/>
  <pageMargins left="0.75" right="0.75" top="0.51" bottom="0.47" header="0.37" footer="0.23"/>
  <pageSetup scale="70" orientation="portrait" r:id="rId3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  <pageSetUpPr fitToPage="1"/>
  </sheetPr>
  <dimension ref="B1:AO121"/>
  <sheetViews>
    <sheetView showGridLines="0" showZeros="0" zoomScaleNormal="100" zoomScaleSheetLayoutView="90" workbookViewId="0">
      <selection activeCell="B44" sqref="B44"/>
    </sheetView>
  </sheetViews>
  <sheetFormatPr defaultRowHeight="12.75" x14ac:dyDescent="0.2"/>
  <cols>
    <col min="2" max="2" width="10.85546875" bestFit="1" customWidth="1"/>
    <col min="3" max="3" width="6.5703125" customWidth="1"/>
    <col min="4" max="4" width="5.28515625" customWidth="1"/>
    <col min="5" max="5" width="10.140625" customWidth="1"/>
    <col min="6" max="6" width="5.28515625" customWidth="1"/>
    <col min="7" max="7" width="11.7109375" customWidth="1"/>
    <col min="8" max="8" width="5.28515625" customWidth="1"/>
    <col min="9" max="9" width="7.7109375" customWidth="1"/>
    <col min="10" max="10" width="7.85546875" customWidth="1"/>
    <col min="11" max="12" width="9.85546875" customWidth="1"/>
    <col min="13" max="13" width="7.85546875" customWidth="1"/>
    <col min="14" max="14" width="5.28515625" customWidth="1"/>
    <col min="16" max="16" width="0" hidden="1" customWidth="1"/>
    <col min="17" max="17" width="10.85546875" hidden="1" customWidth="1"/>
    <col min="18" max="18" width="0" hidden="1" customWidth="1"/>
    <col min="19" max="19" width="3" hidden="1" customWidth="1"/>
    <col min="20" max="20" width="0" hidden="1" customWidth="1"/>
    <col min="21" max="21" width="10.85546875" hidden="1" customWidth="1"/>
    <col min="22" max="22" width="4.85546875" hidden="1" customWidth="1"/>
    <col min="23" max="23" width="12.7109375" hidden="1" customWidth="1"/>
    <col min="24" max="24" width="1.5703125" hidden="1" customWidth="1"/>
    <col min="25" max="25" width="10.140625" hidden="1" customWidth="1"/>
    <col min="26" max="26" width="10.28515625" hidden="1" customWidth="1"/>
    <col min="27" max="27" width="6" hidden="1" customWidth="1"/>
    <col min="28" max="30" width="0" hidden="1" customWidth="1"/>
  </cols>
  <sheetData>
    <row r="1" spans="2:41" ht="15.75" x14ac:dyDescent="0.25">
      <c r="B1" s="1" t="s">
        <v>437</v>
      </c>
      <c r="C1" s="1"/>
    </row>
    <row r="2" spans="2:41" ht="15.75" x14ac:dyDescent="0.25">
      <c r="B2" s="3" t="s">
        <v>491</v>
      </c>
      <c r="C2" s="6"/>
      <c r="E2" s="3" t="str">
        <f>'table 1 &amp; 2'!C2</f>
        <v>2025 Tax Year</v>
      </c>
      <c r="J2" s="264"/>
    </row>
    <row r="3" spans="2:41" x14ac:dyDescent="0.2">
      <c r="U3" t="e">
        <f>+U4/Z24</f>
        <v>#DIV/0!</v>
      </c>
    </row>
    <row r="4" spans="2:41" x14ac:dyDescent="0.2">
      <c r="B4" s="7" t="s">
        <v>496</v>
      </c>
      <c r="C4" s="7"/>
      <c r="H4" s="7" t="str">
        <f>E2</f>
        <v>2025 Tax Year</v>
      </c>
      <c r="U4" s="174">
        <f>SUM(U8:U12)</f>
        <v>635139</v>
      </c>
      <c r="AE4" s="525" t="s">
        <v>550</v>
      </c>
      <c r="AF4" s="424"/>
      <c r="AG4" s="424"/>
      <c r="AH4" s="424"/>
      <c r="AI4" s="424"/>
      <c r="AJ4" s="424"/>
      <c r="AK4" s="424"/>
      <c r="AL4" s="424"/>
      <c r="AM4" s="424"/>
      <c r="AN4" s="424"/>
      <c r="AO4" s="424"/>
    </row>
    <row r="5" spans="2:41" x14ac:dyDescent="0.2">
      <c r="B5" s="7" t="s">
        <v>410</v>
      </c>
      <c r="C5" s="7"/>
      <c r="K5" s="211"/>
      <c r="Q5" s="238" t="s">
        <v>64</v>
      </c>
      <c r="T5" s="7" t="s">
        <v>413</v>
      </c>
    </row>
    <row r="6" spans="2:41" x14ac:dyDescent="0.2">
      <c r="E6" s="214"/>
      <c r="G6" s="46" t="s">
        <v>5</v>
      </c>
      <c r="H6" s="46"/>
      <c r="I6" s="46"/>
      <c r="K6" s="201" t="s">
        <v>318</v>
      </c>
      <c r="Q6" s="238" t="s">
        <v>65</v>
      </c>
      <c r="W6" s="46" t="s">
        <v>331</v>
      </c>
      <c r="X6" s="49"/>
      <c r="AB6" s="46" t="s">
        <v>331</v>
      </c>
    </row>
    <row r="7" spans="2:41" ht="13.5" thickBot="1" x14ac:dyDescent="0.25">
      <c r="B7" s="47" t="s">
        <v>27</v>
      </c>
      <c r="C7" s="219" t="s">
        <v>8</v>
      </c>
      <c r="D7" s="486" t="s">
        <v>332</v>
      </c>
      <c r="E7" s="220" t="s">
        <v>9</v>
      </c>
      <c r="F7" s="67" t="s">
        <v>332</v>
      </c>
      <c r="G7" s="171" t="s">
        <v>409</v>
      </c>
      <c r="H7" s="67" t="s">
        <v>332</v>
      </c>
      <c r="I7" s="67" t="s">
        <v>29</v>
      </c>
      <c r="J7" s="67" t="s">
        <v>332</v>
      </c>
      <c r="K7" s="220" t="s">
        <v>30</v>
      </c>
      <c r="L7" s="67" t="s">
        <v>10</v>
      </c>
      <c r="M7" s="67" t="s">
        <v>29</v>
      </c>
      <c r="N7" s="67" t="s">
        <v>332</v>
      </c>
      <c r="Q7" s="238">
        <v>2008</v>
      </c>
      <c r="R7" t="s">
        <v>332</v>
      </c>
      <c r="T7" s="47" t="s">
        <v>27</v>
      </c>
      <c r="U7" s="47" t="s">
        <v>411</v>
      </c>
      <c r="V7" s="47" t="s">
        <v>332</v>
      </c>
      <c r="W7" s="67" t="s">
        <v>412</v>
      </c>
      <c r="X7" s="62"/>
      <c r="Y7" s="47" t="s">
        <v>27</v>
      </c>
      <c r="Z7" s="47" t="s">
        <v>411</v>
      </c>
      <c r="AA7" s="47" t="s">
        <v>332</v>
      </c>
      <c r="AB7" s="67" t="s">
        <v>412</v>
      </c>
    </row>
    <row r="8" spans="2:41" x14ac:dyDescent="0.2">
      <c r="B8" s="52" t="s">
        <v>31</v>
      </c>
      <c r="C8" s="400">
        <f>'table 1 &amp; 2'!B9/'table 1 &amp; 2'!$B$42*100</f>
        <v>20.077474648557605</v>
      </c>
      <c r="D8" s="521">
        <f>RANK(C8,$C$8:$C$40)</f>
        <v>2</v>
      </c>
      <c r="E8" s="400">
        <f>'table 1 &amp; 2'!C9/'table 1 &amp; 2'!$C$42*100</f>
        <v>34.137169560794831</v>
      </c>
      <c r="F8" s="519">
        <f>RANK(E8,$E$8:$E$40)</f>
        <v>1</v>
      </c>
      <c r="G8" s="400">
        <f>'table 1 &amp; 2'!D9/'table 1 &amp; 2'!$D$42*100</f>
        <v>19.21955741907259</v>
      </c>
      <c r="H8" s="368">
        <f t="shared" ref="H8:H40" si="0">RANK(G8,$G$8:$G$40)</f>
        <v>1</v>
      </c>
      <c r="I8" s="400">
        <f>'table 1 &amp; 2'!E9/'table 1 &amp; 2'!$E$42*100</f>
        <v>28.992175017137136</v>
      </c>
      <c r="J8" s="516">
        <f>RANK(I8,$I$8:$I$40)</f>
        <v>1</v>
      </c>
      <c r="K8" s="400">
        <f>'table 1 &amp; 2'!F9/'table 1 &amp; 2'!$F$42*100</f>
        <v>0</v>
      </c>
      <c r="L8" s="400">
        <f>'table 1 &amp; 2'!G9/'table 1 &amp; 2'!$G$42*100</f>
        <v>0</v>
      </c>
      <c r="M8" s="400">
        <f>'table 1 &amp; 2'!H9/'table 1 &amp; 2'!$H$42*100</f>
        <v>0</v>
      </c>
      <c r="N8" s="368" t="str">
        <f>IF(M8=0,"N/A",RANK(M8,$M$8:$M$40))</f>
        <v>N/A</v>
      </c>
      <c r="P8" s="52" t="s">
        <v>31</v>
      </c>
      <c r="Q8" s="238">
        <v>635139</v>
      </c>
      <c r="R8" s="96">
        <f>RANK(Q8,$Q$8:$Q$40)</f>
        <v>1</v>
      </c>
      <c r="S8" s="46"/>
      <c r="T8" t="s">
        <v>31</v>
      </c>
      <c r="U8" s="245">
        <v>635139</v>
      </c>
      <c r="V8">
        <v>1</v>
      </c>
      <c r="W8" s="252">
        <v>32.007311188113427</v>
      </c>
      <c r="X8" s="248"/>
      <c r="Y8" t="s">
        <v>46</v>
      </c>
      <c r="Z8" s="245">
        <v>27227</v>
      </c>
      <c r="AA8">
        <v>18</v>
      </c>
      <c r="AB8" s="252">
        <v>1.3720824287577431</v>
      </c>
    </row>
    <row r="9" spans="2:41" x14ac:dyDescent="0.2">
      <c r="B9" t="s">
        <v>32</v>
      </c>
      <c r="C9" s="401">
        <f>'table 1 &amp; 2'!B10/'table 1 &amp; 2'!$B$42*100</f>
        <v>0.15197257303243764</v>
      </c>
      <c r="D9" s="522">
        <f t="shared" ref="D9:D40" si="1">RANK(C9,$C$8:$C$40)</f>
        <v>31</v>
      </c>
      <c r="E9" s="401">
        <f>'table 1 &amp; 2'!C10/'table 1 &amp; 2'!$C$42*100</f>
        <v>0.13211341314800032</v>
      </c>
      <c r="F9" s="520">
        <f t="shared" ref="F9:F40" si="2">RANK(E9,$E$8:$E$40)</f>
        <v>28</v>
      </c>
      <c r="G9" s="401">
        <f>'table 1 &amp; 2'!D10/'table 1 &amp; 2'!$D$42*100</f>
        <v>0.38534272946778481</v>
      </c>
      <c r="H9" s="170">
        <f t="shared" si="0"/>
        <v>30</v>
      </c>
      <c r="I9" s="401">
        <f>'table 1 &amp; 2'!E10/'table 1 &amp; 2'!$E$42*100</f>
        <v>0.21945067854824171</v>
      </c>
      <c r="J9" s="517">
        <f t="shared" ref="J9:J40" si="3">RANK(I9,$I$8:$I$40)</f>
        <v>31</v>
      </c>
      <c r="K9" s="401">
        <f>'table 1 &amp; 2'!F10/'table 1 &amp; 2'!$F$42*100</f>
        <v>0</v>
      </c>
      <c r="L9" s="401">
        <f>'table 1 &amp; 2'!G10/'table 1 &amp; 2'!$G$42*100</f>
        <v>0</v>
      </c>
      <c r="M9" s="401">
        <f>'table 1 &amp; 2'!H10/'table 1 &amp; 2'!$H$42*100</f>
        <v>0</v>
      </c>
      <c r="N9" s="170" t="str">
        <f t="shared" ref="N9:N40" si="4">IF(M9=0,"N/A",RANK(M9,$M$8:$M$40))</f>
        <v>N/A</v>
      </c>
      <c r="Q9" s="238"/>
      <c r="R9" s="96"/>
      <c r="S9" s="46"/>
      <c r="U9" s="245"/>
      <c r="W9" s="252"/>
      <c r="X9" s="248"/>
      <c r="Z9" s="245"/>
      <c r="AB9" s="252"/>
    </row>
    <row r="10" spans="2:41" x14ac:dyDescent="0.2">
      <c r="B10" s="52" t="s">
        <v>33</v>
      </c>
      <c r="C10" s="400">
        <f>'table 1 &amp; 2'!B11/'table 1 &amp; 2'!$B$42*100</f>
        <v>1.5082360169443845</v>
      </c>
      <c r="D10" s="523">
        <f t="shared" si="1"/>
        <v>11</v>
      </c>
      <c r="E10" s="400">
        <f>'table 1 &amp; 2'!C11/'table 1 &amp; 2'!$C$42*100</f>
        <v>1.7817044967387781</v>
      </c>
      <c r="F10" s="519">
        <f t="shared" si="2"/>
        <v>13</v>
      </c>
      <c r="G10" s="400">
        <f>'table 1 &amp; 2'!D11/'table 1 &amp; 2'!$D$42*100</f>
        <v>2.5807753255460057</v>
      </c>
      <c r="H10" s="368">
        <f t="shared" si="0"/>
        <v>9</v>
      </c>
      <c r="I10" s="400">
        <f>'table 1 &amp; 2'!E11/'table 1 &amp; 2'!$E$42*100</f>
        <v>2.0572992109029027</v>
      </c>
      <c r="J10" s="518">
        <f t="shared" si="3"/>
        <v>12</v>
      </c>
      <c r="K10" s="400">
        <f>'table 1 &amp; 2'!F11/'table 1 &amp; 2'!$F$42*100</f>
        <v>0.27168190518531393</v>
      </c>
      <c r="L10" s="400">
        <f>'table 1 &amp; 2'!G11/'table 1 &amp; 2'!$G$42*100</f>
        <v>0.27150572055148092</v>
      </c>
      <c r="M10" s="400">
        <f>'table 1 &amp; 2'!H11/'table 1 &amp; 2'!$H$42*100</f>
        <v>0.27164904246654809</v>
      </c>
      <c r="N10" s="368">
        <f t="shared" si="4"/>
        <v>7</v>
      </c>
      <c r="P10" s="52"/>
      <c r="Q10" s="238"/>
      <c r="R10" s="96"/>
      <c r="S10" s="46"/>
      <c r="U10" s="245"/>
      <c r="W10" s="252"/>
      <c r="X10" s="248"/>
      <c r="Z10" s="245"/>
      <c r="AB10" s="252"/>
    </row>
    <row r="11" spans="2:41" x14ac:dyDescent="0.2">
      <c r="B11" t="s">
        <v>34</v>
      </c>
      <c r="C11" s="401">
        <f>'table 1 &amp; 2'!B12/'table 1 &amp; 2'!$B$42*100</f>
        <v>0.37154069654982369</v>
      </c>
      <c r="D11" s="522">
        <f t="shared" si="1"/>
        <v>23</v>
      </c>
      <c r="E11" s="401">
        <f>'table 1 &amp; 2'!C12/'table 1 &amp; 2'!$C$42*100</f>
        <v>0.36092454056454537</v>
      </c>
      <c r="F11" s="520">
        <f t="shared" si="2"/>
        <v>25</v>
      </c>
      <c r="G11" s="401">
        <f>'table 1 &amp; 2'!D12/'table 1 &amp; 2'!$D$42*100</f>
        <v>0.87002536526633334</v>
      </c>
      <c r="H11" s="170">
        <f t="shared" si="0"/>
        <v>21</v>
      </c>
      <c r="I11" s="401">
        <f>'table 1 &amp; 2'!E12/'table 1 &amp; 2'!$E$42*100</f>
        <v>0.53651034748712223</v>
      </c>
      <c r="J11" s="517">
        <f t="shared" si="3"/>
        <v>23</v>
      </c>
      <c r="K11" s="401">
        <f>'table 1 &amp; 2'!F12/'table 1 &amp; 2'!$F$42*100</f>
        <v>0</v>
      </c>
      <c r="L11" s="401">
        <f>'table 1 &amp; 2'!G12/'table 1 &amp; 2'!$G$42*100</f>
        <v>0</v>
      </c>
      <c r="M11" s="401">
        <f>'table 1 &amp; 2'!H12/'table 1 &amp; 2'!$H$42*100</f>
        <v>0</v>
      </c>
      <c r="N11" s="170" t="str">
        <f t="shared" si="4"/>
        <v>N/A</v>
      </c>
      <c r="Q11" s="238"/>
      <c r="R11" s="96"/>
      <c r="S11" s="46"/>
      <c r="U11" s="245"/>
      <c r="W11" s="252"/>
      <c r="X11" s="248"/>
      <c r="Z11" s="245"/>
      <c r="AB11" s="252"/>
    </row>
    <row r="12" spans="2:41" x14ac:dyDescent="0.2">
      <c r="B12" s="52" t="s">
        <v>35</v>
      </c>
      <c r="C12" s="400">
        <f>'table 1 &amp; 2'!B13/'table 1 &amp; 2'!$B$42*100</f>
        <v>0.68801211603140189</v>
      </c>
      <c r="D12" s="523">
        <f t="shared" si="1"/>
        <v>17</v>
      </c>
      <c r="E12" s="400">
        <f>'table 1 &amp; 2'!C13/'table 1 &amp; 2'!$C$42*100</f>
        <v>1.0450037417975016</v>
      </c>
      <c r="F12" s="519">
        <f t="shared" si="2"/>
        <v>16</v>
      </c>
      <c r="G12" s="400">
        <f>'table 1 &amp; 2'!D13/'table 1 &amp; 2'!$D$42*100</f>
        <v>0.84573416080980302</v>
      </c>
      <c r="H12" s="368">
        <f t="shared" si="0"/>
        <v>22</v>
      </c>
      <c r="I12" s="400">
        <f>'table 1 &amp; 2'!E13/'table 1 &amp; 2'!$E$42*100</f>
        <v>0.9762768639863254</v>
      </c>
      <c r="J12" s="518">
        <f t="shared" si="3"/>
        <v>16</v>
      </c>
      <c r="K12" s="400">
        <f>'table 1 &amp; 2'!F13/'table 1 &amp; 2'!$F$42*100</f>
        <v>3.9341572285874322E-2</v>
      </c>
      <c r="L12" s="400">
        <f>'table 1 &amp; 2'!G13/'table 1 &amp; 2'!$G$42*100</f>
        <v>3.6379936002849396E-2</v>
      </c>
      <c r="M12" s="400">
        <f>'table 1 &amp; 2'!H13/'table 1 &amp; 2'!$H$42*100</f>
        <v>3.878915509637039E-2</v>
      </c>
      <c r="N12" s="368">
        <f t="shared" si="4"/>
        <v>10</v>
      </c>
      <c r="P12" s="52"/>
      <c r="Q12" s="238"/>
      <c r="R12" s="96"/>
      <c r="S12" s="46"/>
      <c r="U12" s="245"/>
      <c r="W12" s="252"/>
      <c r="X12" s="248"/>
      <c r="Z12" s="245"/>
      <c r="AB12" s="252"/>
    </row>
    <row r="13" spans="2:41" x14ac:dyDescent="0.2">
      <c r="B13" t="s">
        <v>36</v>
      </c>
      <c r="C13" s="401">
        <f>'table 1 &amp; 2'!B14/'table 1 &amp; 2'!$B$42*100</f>
        <v>1.0932058243149907</v>
      </c>
      <c r="D13" s="522">
        <f t="shared" si="1"/>
        <v>14</v>
      </c>
      <c r="E13" s="401">
        <f>'table 1 &amp; 2'!C14/'table 1 &amp; 2'!$C$42*100</f>
        <v>1.4536980210337109</v>
      </c>
      <c r="F13" s="520">
        <f t="shared" si="2"/>
        <v>14</v>
      </c>
      <c r="G13" s="401">
        <f>'table 1 &amp; 2'!D14/'table 1 &amp; 2'!$D$42*100</f>
        <v>1.8158603715898971</v>
      </c>
      <c r="H13" s="170">
        <f t="shared" si="0"/>
        <v>13</v>
      </c>
      <c r="I13" s="401">
        <f>'table 1 &amp; 2'!E14/'table 1 &amp; 2'!$E$42*100</f>
        <v>1.5786056335810565</v>
      </c>
      <c r="J13" s="517">
        <f t="shared" si="3"/>
        <v>13</v>
      </c>
      <c r="K13" s="401">
        <f>'table 1 &amp; 2'!F14/'table 1 &amp; 2'!$F$42*100</f>
        <v>0</v>
      </c>
      <c r="L13" s="401">
        <f>'table 1 &amp; 2'!G14/'table 1 &amp; 2'!$G$42*100</f>
        <v>0</v>
      </c>
      <c r="M13" s="401">
        <f>'table 1 &amp; 2'!H14/'table 1 &amp; 2'!$H$42*100</f>
        <v>0</v>
      </c>
      <c r="N13" s="170" t="str">
        <f t="shared" si="4"/>
        <v>N/A</v>
      </c>
      <c r="Q13" s="238"/>
      <c r="R13" s="96"/>
      <c r="S13" s="46"/>
      <c r="U13" s="245"/>
      <c r="W13" s="252"/>
      <c r="X13" s="248"/>
      <c r="Z13" s="245"/>
      <c r="AB13" s="252"/>
    </row>
    <row r="14" spans="2:41" x14ac:dyDescent="0.2">
      <c r="B14" s="52" t="s">
        <v>67</v>
      </c>
      <c r="C14" s="400">
        <f>'table 1 &amp; 2'!B15/'table 1 &amp; 2'!$B$42*100</f>
        <v>9.579169233106033E-2</v>
      </c>
      <c r="D14" s="523">
        <f t="shared" si="1"/>
        <v>32</v>
      </c>
      <c r="E14" s="400">
        <f>'table 1 &amp; 2'!C15/'table 1 &amp; 2'!$C$42*100</f>
        <v>4.0767833217654856E-2</v>
      </c>
      <c r="F14" s="519">
        <f t="shared" si="2"/>
        <v>32</v>
      </c>
      <c r="G14" s="400">
        <f>'table 1 &amp; 2'!D15/'table 1 &amp; 2'!$D$42*100</f>
        <v>0.32362812294287546</v>
      </c>
      <c r="H14" s="368">
        <f t="shared" si="0"/>
        <v>31</v>
      </c>
      <c r="I14" s="400">
        <f>'table 1 &amp; 2'!E15/'table 1 &amp; 2'!$E$42*100</f>
        <v>0.13832464280807216</v>
      </c>
      <c r="J14" s="518">
        <f t="shared" si="3"/>
        <v>32</v>
      </c>
      <c r="K14" s="400">
        <f>'table 1 &amp; 2'!F15/'table 1 &amp; 2'!$F$42*100</f>
        <v>0</v>
      </c>
      <c r="L14" s="400">
        <f>'table 1 &amp; 2'!G15/'table 1 &amp; 2'!$G$42*100</f>
        <v>0</v>
      </c>
      <c r="M14" s="400">
        <f>'table 1 &amp; 2'!H15/'table 1 &amp; 2'!$H$42*100</f>
        <v>0</v>
      </c>
      <c r="N14" s="368" t="str">
        <f t="shared" si="4"/>
        <v>N/A</v>
      </c>
      <c r="P14" s="52"/>
      <c r="Q14" s="238"/>
      <c r="R14" s="96"/>
      <c r="S14" s="46"/>
      <c r="U14" s="245"/>
      <c r="W14" s="252"/>
      <c r="X14" s="248"/>
      <c r="Z14" s="245"/>
      <c r="AB14" s="252"/>
    </row>
    <row r="15" spans="2:41" x14ac:dyDescent="0.2">
      <c r="B15" t="s">
        <v>37</v>
      </c>
      <c r="C15" s="401">
        <f>'table 1 &amp; 2'!B16/'table 1 &amp; 2'!$B$42*100</f>
        <v>5.6196577031785617</v>
      </c>
      <c r="D15" s="522">
        <f t="shared" si="1"/>
        <v>5</v>
      </c>
      <c r="E15" s="401">
        <f>'table 1 &amp; 2'!C16/'table 1 &amp; 2'!$C$42*100</f>
        <v>9.1375085919885439</v>
      </c>
      <c r="F15" s="520">
        <f t="shared" si="2"/>
        <v>3</v>
      </c>
      <c r="G15" s="401">
        <f>'table 1 &amp; 2'!D16/'table 1 &amp; 2'!$D$42*100</f>
        <v>6.1724279600200829</v>
      </c>
      <c r="H15" s="170">
        <f t="shared" si="0"/>
        <v>6</v>
      </c>
      <c r="I15" s="401">
        <f>'table 1 &amp; 2'!E16/'table 1 &amp; 2'!$E$42*100</f>
        <v>8.1148701477085741</v>
      </c>
      <c r="J15" s="517">
        <f t="shared" si="3"/>
        <v>3</v>
      </c>
      <c r="K15" s="401">
        <f>'table 1 &amp; 2'!F16/'table 1 &amp; 2'!$F$42*100</f>
        <v>0</v>
      </c>
      <c r="L15" s="401">
        <f>'table 1 &amp; 2'!G16/'table 1 &amp; 2'!$G$42*100</f>
        <v>0</v>
      </c>
      <c r="M15" s="401">
        <f>'table 1 &amp; 2'!H16/'table 1 &amp; 2'!$H$42*100</f>
        <v>0</v>
      </c>
      <c r="N15" s="170" t="str">
        <f t="shared" si="4"/>
        <v>N/A</v>
      </c>
      <c r="Q15" s="238"/>
      <c r="R15" s="96"/>
      <c r="S15" s="46"/>
      <c r="U15" s="245"/>
      <c r="W15" s="252"/>
      <c r="X15" s="248"/>
      <c r="Z15" s="245"/>
      <c r="AB15" s="252"/>
    </row>
    <row r="16" spans="2:41" x14ac:dyDescent="0.2">
      <c r="B16" s="52" t="s">
        <v>38</v>
      </c>
      <c r="C16" s="400">
        <f>'table 1 &amp; 2'!B17/'table 1 &amp; 2'!$B$42*100</f>
        <v>17.055566010106212</v>
      </c>
      <c r="D16" s="523">
        <f t="shared" si="1"/>
        <v>3</v>
      </c>
      <c r="E16" s="400">
        <f>'table 1 &amp; 2'!C17/'table 1 &amp; 2'!$C$42*100</f>
        <v>2.1917189900938361</v>
      </c>
      <c r="F16" s="519">
        <f t="shared" si="2"/>
        <v>9</v>
      </c>
      <c r="G16" s="400">
        <f>'table 1 &amp; 2'!D17/'table 1 &amp; 2'!$D$42*100</f>
        <v>13.813813051150268</v>
      </c>
      <c r="H16" s="368">
        <f t="shared" si="0"/>
        <v>2</v>
      </c>
      <c r="I16" s="400">
        <f>'table 1 &amp; 2'!E17/'table 1 &amp; 2'!$E$42*100</f>
        <v>6.2001092044212873</v>
      </c>
      <c r="J16" s="518">
        <f t="shared" si="3"/>
        <v>5</v>
      </c>
      <c r="K16" s="400">
        <f>'table 1 &amp; 2'!F17/'table 1 &amp; 2'!$F$42*100</f>
        <v>41.555339032964405</v>
      </c>
      <c r="L16" s="400">
        <f>'table 1 &amp; 2'!G17/'table 1 &amp; 2'!$G$42*100</f>
        <v>41.279915370682104</v>
      </c>
      <c r="M16" s="400">
        <f>'table 1 &amp; 2'!H17/'table 1 &amp; 2'!$H$42*100</f>
        <v>41.503965822042822</v>
      </c>
      <c r="N16" s="368">
        <f t="shared" si="4"/>
        <v>2</v>
      </c>
      <c r="P16" s="52"/>
      <c r="Q16" s="238"/>
      <c r="R16" s="96"/>
      <c r="S16" s="46"/>
      <c r="U16" s="245"/>
      <c r="W16" s="252"/>
      <c r="X16" s="248"/>
      <c r="Z16" s="245"/>
      <c r="AB16" s="252"/>
    </row>
    <row r="17" spans="2:28" x14ac:dyDescent="0.2">
      <c r="B17" t="s">
        <v>39</v>
      </c>
      <c r="C17" s="401">
        <f>'table 1 &amp; 2'!B18/'table 1 &amp; 2'!$B$42*100</f>
        <v>0.81347741839903598</v>
      </c>
      <c r="D17" s="522">
        <f t="shared" si="1"/>
        <v>16</v>
      </c>
      <c r="E17" s="401">
        <f>'table 1 &amp; 2'!C18/'table 1 &amp; 2'!$C$42*100</f>
        <v>0.98573739133523219</v>
      </c>
      <c r="F17" s="520">
        <f t="shared" si="2"/>
        <v>18</v>
      </c>
      <c r="G17" s="401">
        <f>'table 1 &amp; 2'!D18/'table 1 &amp; 2'!$D$42*100</f>
        <v>0.90288630696298933</v>
      </c>
      <c r="H17" s="170">
        <f t="shared" si="0"/>
        <v>20</v>
      </c>
      <c r="I17" s="401">
        <f>'table 1 &amp; 2'!E18/'table 1 &amp; 2'!$E$42*100</f>
        <v>0.95716255154307084</v>
      </c>
      <c r="J17" s="517">
        <f t="shared" si="3"/>
        <v>18</v>
      </c>
      <c r="K17" s="401">
        <f>'table 1 &amp; 2'!F18/'table 1 &amp; 2'!$F$42*100</f>
        <v>0.6021977229303882</v>
      </c>
      <c r="L17" s="401">
        <f>'table 1 &amp; 2'!G18/'table 1 &amp; 2'!$G$42*100</f>
        <v>0</v>
      </c>
      <c r="M17" s="401">
        <f>'table 1 &amp; 2'!H18/'table 1 &amp; 2'!$H$42*100</f>
        <v>0.48987320302441961</v>
      </c>
      <c r="N17" s="170">
        <f t="shared" si="4"/>
        <v>5</v>
      </c>
      <c r="Q17" s="238"/>
      <c r="R17" s="96"/>
      <c r="S17" s="46"/>
      <c r="U17" s="245"/>
      <c r="W17" s="252"/>
      <c r="X17" s="248"/>
      <c r="Z17" s="245"/>
      <c r="AB17" s="252"/>
    </row>
    <row r="18" spans="2:28" x14ac:dyDescent="0.2">
      <c r="B18" s="52" t="s">
        <v>40</v>
      </c>
      <c r="C18" s="400">
        <f>'table 1 &amp; 2'!B19/'table 1 &amp; 2'!$B$42*100</f>
        <v>0.1860541649913422</v>
      </c>
      <c r="D18" s="523">
        <f t="shared" si="1"/>
        <v>27</v>
      </c>
      <c r="E18" s="400">
        <f>'table 1 &amp; 2'!C19/'table 1 &amp; 2'!$C$42*100</f>
        <v>8.841439267010158E-2</v>
      </c>
      <c r="F18" s="519">
        <f t="shared" si="2"/>
        <v>30</v>
      </c>
      <c r="G18" s="400">
        <f>'table 1 &amp; 2'!D19/'table 1 &amp; 2'!$D$42*100</f>
        <v>0.61104056166965848</v>
      </c>
      <c r="H18" s="368">
        <f t="shared" si="0"/>
        <v>25</v>
      </c>
      <c r="I18" s="400">
        <f>'table 1 &amp; 2'!E19/'table 1 &amp; 2'!$E$42*100</f>
        <v>0.26866500934587523</v>
      </c>
      <c r="J18" s="518">
        <f t="shared" si="3"/>
        <v>27</v>
      </c>
      <c r="K18" s="400">
        <f>'table 1 &amp; 2'!F19/'table 1 &amp; 2'!$F$42*100</f>
        <v>0</v>
      </c>
      <c r="L18" s="400">
        <f>'table 1 &amp; 2'!G19/'table 1 &amp; 2'!$G$42*100</f>
        <v>0</v>
      </c>
      <c r="M18" s="400">
        <f>'table 1 &amp; 2'!H19/'table 1 &amp; 2'!$H$42*100</f>
        <v>0</v>
      </c>
      <c r="N18" s="368" t="str">
        <f t="shared" si="4"/>
        <v>N/A</v>
      </c>
      <c r="P18" s="52"/>
      <c r="Q18" s="238"/>
      <c r="R18" s="96"/>
      <c r="S18" s="46"/>
      <c r="U18" s="245"/>
      <c r="W18" s="252"/>
      <c r="X18" s="248"/>
      <c r="Z18" s="245"/>
      <c r="AB18" s="252"/>
    </row>
    <row r="19" spans="2:28" x14ac:dyDescent="0.2">
      <c r="B19" t="s">
        <v>41</v>
      </c>
      <c r="C19" s="401">
        <f>'table 1 &amp; 2'!B20/'table 1 &amp; 2'!$B$42*100</f>
        <v>6.7071212543892769E-2</v>
      </c>
      <c r="D19" s="522">
        <f t="shared" si="1"/>
        <v>33</v>
      </c>
      <c r="E19" s="401">
        <f>'table 1 &amp; 2'!C20/'table 1 &amp; 2'!$C$42*100</f>
        <v>1.2662961357219634E-2</v>
      </c>
      <c r="F19" s="520">
        <f t="shared" si="2"/>
        <v>33</v>
      </c>
      <c r="G19" s="401">
        <f>'table 1 &amp; 2'!D20/'table 1 &amp; 2'!$D$42*100</f>
        <v>0.20335512619717241</v>
      </c>
      <c r="H19" s="170">
        <f t="shared" si="0"/>
        <v>33</v>
      </c>
      <c r="I19" s="401">
        <f>'table 1 &amp; 2'!E20/'table 1 &amp; 2'!$E$42*100</f>
        <v>7.8431540021080839E-2</v>
      </c>
      <c r="J19" s="517">
        <f t="shared" si="3"/>
        <v>33</v>
      </c>
      <c r="K19" s="401">
        <f>'table 1 &amp; 2'!F20/'table 1 &amp; 2'!$F$42*100</f>
        <v>4.2009650132265805E-2</v>
      </c>
      <c r="L19" s="401">
        <f>'table 1 &amp; 2'!G20/'table 1 &amp; 2'!$G$42*100</f>
        <v>3.9200927718748314E-2</v>
      </c>
      <c r="M19" s="401">
        <f>'table 1 &amp; 2'!H20/'table 1 &amp; 2'!$H$42*100</f>
        <v>4.1485755098069607E-2</v>
      </c>
      <c r="N19" s="170">
        <f t="shared" si="4"/>
        <v>9</v>
      </c>
      <c r="Q19" s="238"/>
      <c r="R19" s="96"/>
      <c r="S19" s="46"/>
      <c r="U19" s="245"/>
      <c r="W19" s="252"/>
      <c r="X19" s="248"/>
      <c r="Z19" s="245"/>
      <c r="AB19" s="252"/>
    </row>
    <row r="20" spans="2:28" x14ac:dyDescent="0.2">
      <c r="B20" s="52" t="s">
        <v>42</v>
      </c>
      <c r="C20" s="400">
        <f>'table 1 &amp; 2'!B21/'table 1 &amp; 2'!$B$42*100</f>
        <v>0.17326725634955825</v>
      </c>
      <c r="D20" s="523">
        <f t="shared" si="1"/>
        <v>29</v>
      </c>
      <c r="E20" s="400">
        <f>'table 1 &amp; 2'!C21/'table 1 &amp; 2'!$C$42*100</f>
        <v>6.0293731459167756E-2</v>
      </c>
      <c r="F20" s="519">
        <f t="shared" si="2"/>
        <v>31</v>
      </c>
      <c r="G20" s="400">
        <f>'table 1 &amp; 2'!D21/'table 1 &amp; 2'!$D$42*100</f>
        <v>0.610917411995897</v>
      </c>
      <c r="H20" s="368">
        <f t="shared" si="0"/>
        <v>26</v>
      </c>
      <c r="I20" s="400">
        <f>'table 1 &amp; 2'!E21/'table 1 &amp; 2'!$E$42*100</f>
        <v>0.25020052116895325</v>
      </c>
      <c r="J20" s="518">
        <f t="shared" si="3"/>
        <v>28</v>
      </c>
      <c r="K20" s="400">
        <f>'table 1 &amp; 2'!F21/'table 1 &amp; 2'!$F$42*100</f>
        <v>0</v>
      </c>
      <c r="L20" s="400">
        <f>'table 1 &amp; 2'!G21/'table 1 &amp; 2'!$G$42*100</f>
        <v>0</v>
      </c>
      <c r="M20" s="400">
        <f>'table 1 &amp; 2'!H21/'table 1 &amp; 2'!$H$42*100</f>
        <v>0</v>
      </c>
      <c r="N20" s="368" t="str">
        <f t="shared" si="4"/>
        <v>N/A</v>
      </c>
      <c r="P20" s="52"/>
      <c r="Q20" s="238"/>
      <c r="R20" s="96"/>
      <c r="S20" s="46"/>
      <c r="U20" s="245"/>
      <c r="W20" s="252"/>
      <c r="X20" s="248"/>
      <c r="Z20" s="245"/>
      <c r="AB20" s="252"/>
    </row>
    <row r="21" spans="2:28" x14ac:dyDescent="0.2">
      <c r="B21" t="s">
        <v>43</v>
      </c>
      <c r="C21" s="401">
        <f>'table 1 &amp; 2'!B22/'table 1 &amp; 2'!$B$42*100</f>
        <v>20.302007238978305</v>
      </c>
      <c r="D21" s="522">
        <f t="shared" si="1"/>
        <v>1</v>
      </c>
      <c r="E21" s="401">
        <f>'table 1 &amp; 2'!C22/'table 1 &amp; 2'!$C$42*100</f>
        <v>1.8254412928027899</v>
      </c>
      <c r="F21" s="520">
        <f t="shared" si="2"/>
        <v>12</v>
      </c>
      <c r="G21" s="401">
        <f>'table 1 &amp; 2'!D22/'table 1 &amp; 2'!$D$42*100</f>
        <v>11.084613963276301</v>
      </c>
      <c r="H21" s="170">
        <f t="shared" si="0"/>
        <v>3</v>
      </c>
      <c r="I21" s="401">
        <f>'table 1 &amp; 2'!E22/'table 1 &amp; 2'!$E$42*100</f>
        <v>5.01887415697637</v>
      </c>
      <c r="J21" s="517">
        <f t="shared" si="3"/>
        <v>6</v>
      </c>
      <c r="K21" s="401">
        <f>'table 1 &amp; 2'!F22/'table 1 &amp; 2'!$F$42*100</f>
        <v>54.560237434052098</v>
      </c>
      <c r="L21" s="401">
        <f>'table 1 &amp; 2'!G22/'table 1 &amp; 2'!$G$42*100</f>
        <v>55.429164754617254</v>
      </c>
      <c r="M21" s="401">
        <f>'table 1 &amp; 2'!H22/'table 1 &amp; 2'!$H$42*100</f>
        <v>54.722313510395779</v>
      </c>
      <c r="N21" s="170">
        <f t="shared" si="4"/>
        <v>1</v>
      </c>
      <c r="Q21" s="238"/>
      <c r="R21" s="96"/>
      <c r="S21" s="46"/>
      <c r="U21" s="245"/>
      <c r="W21" s="252"/>
      <c r="X21" s="248"/>
      <c r="Z21" s="245"/>
      <c r="AB21" s="252"/>
    </row>
    <row r="22" spans="2:28" x14ac:dyDescent="0.2">
      <c r="B22" s="52" t="s">
        <v>44</v>
      </c>
      <c r="C22" s="400">
        <f>'table 1 &amp; 2'!B23/'table 1 &amp; 2'!$B$42*100</f>
        <v>1.5274308985521872</v>
      </c>
      <c r="D22" s="523">
        <f t="shared" si="1"/>
        <v>10</v>
      </c>
      <c r="E22" s="400">
        <f>'table 1 &amp; 2'!C23/'table 1 &amp; 2'!$C$42*100</f>
        <v>2.292884877474473</v>
      </c>
      <c r="F22" s="519">
        <f t="shared" si="2"/>
        <v>8</v>
      </c>
      <c r="G22" s="400">
        <f>'table 1 &amp; 2'!D23/'table 1 &amp; 2'!$D$42*100</f>
        <v>2.0399036144419411</v>
      </c>
      <c r="H22" s="368">
        <f t="shared" si="0"/>
        <v>11</v>
      </c>
      <c r="I22" s="400">
        <f>'table 1 &amp; 2'!E23/'table 1 &amp; 2'!$E$42*100</f>
        <v>2.2056331641583942</v>
      </c>
      <c r="J22" s="518">
        <f t="shared" si="3"/>
        <v>10</v>
      </c>
      <c r="K22" s="400">
        <f>'table 1 &amp; 2'!F23/'table 1 &amp; 2'!$F$42*100</f>
        <v>0</v>
      </c>
      <c r="L22" s="400">
        <f>'table 1 &amp; 2'!G23/'table 1 &amp; 2'!$G$42*100</f>
        <v>0</v>
      </c>
      <c r="M22" s="400">
        <f>'table 1 &amp; 2'!H23/'table 1 &amp; 2'!$H$42*100</f>
        <v>0</v>
      </c>
      <c r="N22" s="368" t="str">
        <f t="shared" si="4"/>
        <v>N/A</v>
      </c>
      <c r="P22" s="52"/>
      <c r="Q22" s="238"/>
      <c r="R22" s="96"/>
      <c r="S22" s="46"/>
      <c r="U22" s="245"/>
      <c r="W22" s="252"/>
      <c r="X22" s="248"/>
      <c r="Z22" s="245"/>
      <c r="AB22" s="252"/>
    </row>
    <row r="23" spans="2:28" x14ac:dyDescent="0.2">
      <c r="B23" t="s">
        <v>45</v>
      </c>
      <c r="C23" s="401">
        <f>'table 1 &amp; 2'!B24/'table 1 &amp; 2'!$B$42*100</f>
        <v>0.98045594549251924</v>
      </c>
      <c r="D23" s="522">
        <f t="shared" si="1"/>
        <v>15</v>
      </c>
      <c r="E23" s="401">
        <f>'table 1 &amp; 2'!C24/'table 1 &amp; 2'!$C$42*100</f>
        <v>1.9122529891805751</v>
      </c>
      <c r="F23" s="520">
        <f t="shared" si="2"/>
        <v>11</v>
      </c>
      <c r="G23" s="401">
        <f>'table 1 &amp; 2'!D24/'table 1 &amp; 2'!$D$42*100</f>
        <v>0.47279648668127783</v>
      </c>
      <c r="H23" s="170">
        <f t="shared" si="0"/>
        <v>29</v>
      </c>
      <c r="I23" s="401">
        <f>'table 1 &amp; 2'!E24/'table 1 &amp; 2'!$E$42*100</f>
        <v>1.4157931147159446</v>
      </c>
      <c r="J23" s="517">
        <f t="shared" si="3"/>
        <v>14</v>
      </c>
      <c r="K23" s="401">
        <f>'table 1 &amp; 2'!F24/'table 1 &amp; 2'!$F$42*100</f>
        <v>0</v>
      </c>
      <c r="L23" s="401">
        <f>'table 1 &amp; 2'!G24/'table 1 &amp; 2'!$G$42*100</f>
        <v>0</v>
      </c>
      <c r="M23" s="401">
        <f>'table 1 &amp; 2'!H24/'table 1 &amp; 2'!$H$42*100</f>
        <v>0</v>
      </c>
      <c r="N23" s="170" t="str">
        <f t="shared" si="4"/>
        <v>N/A</v>
      </c>
      <c r="Q23" s="238"/>
      <c r="R23" s="96"/>
      <c r="S23" s="46"/>
      <c r="U23" s="246"/>
      <c r="W23" s="252"/>
      <c r="X23" s="248"/>
      <c r="Z23" s="246"/>
      <c r="AB23" s="252"/>
    </row>
    <row r="24" spans="2:28" ht="13.5" thickBot="1" x14ac:dyDescent="0.25">
      <c r="B24" s="52" t="s">
        <v>46</v>
      </c>
      <c r="C24" s="400">
        <f>'table 1 &amp; 2'!B25/'table 1 &amp; 2'!$B$42*100</f>
        <v>0.6294533980829522</v>
      </c>
      <c r="D24" s="523">
        <f t="shared" si="1"/>
        <v>20</v>
      </c>
      <c r="E24" s="400">
        <f>'table 1 &amp; 2'!C25/'table 1 &amp; 2'!$C$42*100</f>
        <v>0.5988366187218076</v>
      </c>
      <c r="F24" s="519">
        <f t="shared" si="2"/>
        <v>19</v>
      </c>
      <c r="G24" s="400">
        <f>'table 1 &amp; 2'!D25/'table 1 &amp; 2'!$D$42*100</f>
        <v>1.4979637917520696</v>
      </c>
      <c r="H24" s="368">
        <f t="shared" si="0"/>
        <v>17</v>
      </c>
      <c r="I24" s="400">
        <f>'table 1 &amp; 2'!E25/'table 1 &amp; 2'!$E$42*100</f>
        <v>0.90894016313270221</v>
      </c>
      <c r="J24" s="518">
        <f t="shared" si="3"/>
        <v>20</v>
      </c>
      <c r="K24" s="400">
        <f>'table 1 &amp; 2'!F25/'table 1 &amp; 2'!$F$42*100</f>
        <v>0</v>
      </c>
      <c r="L24" s="400">
        <f>'table 1 &amp; 2'!G25/'table 1 &amp; 2'!$G$42*100</f>
        <v>0</v>
      </c>
      <c r="M24" s="400">
        <f>'table 1 &amp; 2'!H25/'table 1 &amp; 2'!$H$42*100</f>
        <v>0</v>
      </c>
      <c r="N24" s="368" t="str">
        <f t="shared" si="4"/>
        <v>N/A</v>
      </c>
      <c r="P24" s="52"/>
      <c r="Q24" s="238"/>
      <c r="R24" s="96"/>
      <c r="S24" s="46"/>
      <c r="T24" s="47"/>
      <c r="U24" s="247"/>
      <c r="V24" s="47"/>
      <c r="W24" s="253"/>
      <c r="X24" s="249"/>
      <c r="Y24" s="47"/>
      <c r="Z24" s="247"/>
      <c r="AA24" s="47"/>
      <c r="AB24" s="253"/>
    </row>
    <row r="25" spans="2:28" x14ac:dyDescent="0.2">
      <c r="B25" t="s">
        <v>47</v>
      </c>
      <c r="C25" s="401">
        <f>'table 1 &amp; 2'!B26/'table 1 &amp; 2'!$B$42*100</f>
        <v>0.65669545470214541</v>
      </c>
      <c r="D25" s="522">
        <f t="shared" si="1"/>
        <v>19</v>
      </c>
      <c r="E25" s="401">
        <f>'table 1 &amp; 2'!C26/'table 1 &amp; 2'!$C$42*100</f>
        <v>0.59267706153066868</v>
      </c>
      <c r="F25" s="520">
        <f t="shared" si="2"/>
        <v>20</v>
      </c>
      <c r="G25" s="401">
        <f>'table 1 &amp; 2'!D26/'table 1 &amp; 2'!$D$42*100</f>
        <v>1.6236025919985324</v>
      </c>
      <c r="H25" s="170">
        <f t="shared" si="0"/>
        <v>15</v>
      </c>
      <c r="I25" s="401">
        <f>'table 1 &amp; 2'!E26/'table 1 &amp; 2'!$E$42*100</f>
        <v>0.94823706528889806</v>
      </c>
      <c r="J25" s="517">
        <f t="shared" si="3"/>
        <v>19</v>
      </c>
      <c r="K25" s="401">
        <f>'table 1 &amp; 2'!F26/'table 1 &amp; 2'!$F$42*100</f>
        <v>9.2027889546567759E-5</v>
      </c>
      <c r="L25" s="401">
        <f>'table 1 &amp; 2'!G26/'table 1 &amp; 2'!$G$42*100</f>
        <v>9.4142060760390067E-5</v>
      </c>
      <c r="M25" s="401">
        <f>'table 1 &amp; 2'!H26/'table 1 &amp; 2'!$H$42*100</f>
        <v>9.2422233891538086E-5</v>
      </c>
      <c r="N25" s="170">
        <f t="shared" si="4"/>
        <v>13</v>
      </c>
      <c r="Q25" s="238"/>
      <c r="R25" s="96"/>
      <c r="S25" s="46"/>
    </row>
    <row r="26" spans="2:28" x14ac:dyDescent="0.2">
      <c r="B26" s="52" t="s">
        <v>48</v>
      </c>
      <c r="C26" s="400">
        <f>'table 1 &amp; 2'!B27/'table 1 &amp; 2'!$B$42*100</f>
        <v>0.15772203412042288</v>
      </c>
      <c r="D26" s="523">
        <f t="shared" si="1"/>
        <v>30</v>
      </c>
      <c r="E26" s="400">
        <f>'table 1 &amp; 2'!C27/'table 1 &amp; 2'!$C$42*100</f>
        <v>0.18954120839685526</v>
      </c>
      <c r="F26" s="519">
        <f t="shared" si="2"/>
        <v>27</v>
      </c>
      <c r="G26" s="400">
        <f>'table 1 &amp; 2'!D27/'table 1 &amp; 2'!$D$42*100</f>
        <v>0.30033403502414113</v>
      </c>
      <c r="H26" s="368">
        <f t="shared" si="0"/>
        <v>32</v>
      </c>
      <c r="I26" s="400">
        <f>'table 1 &amp; 2'!E27/'table 1 &amp; 2'!$E$42*100</f>
        <v>0.22775298673365202</v>
      </c>
      <c r="J26" s="518">
        <f t="shared" si="3"/>
        <v>30</v>
      </c>
      <c r="K26" s="400">
        <f>'table 1 &amp; 2'!F27/'table 1 &amp; 2'!$F$42*100</f>
        <v>0</v>
      </c>
      <c r="L26" s="400">
        <f>'table 1 &amp; 2'!G27/'table 1 &amp; 2'!$G$42*100</f>
        <v>0</v>
      </c>
      <c r="M26" s="400">
        <f>'table 1 &amp; 2'!H27/'table 1 &amp; 2'!$H$42*100</f>
        <v>0</v>
      </c>
      <c r="N26" s="368" t="str">
        <f t="shared" si="4"/>
        <v>N/A</v>
      </c>
      <c r="P26" s="52"/>
      <c r="Q26" s="238"/>
      <c r="R26" s="96"/>
      <c r="S26" s="46"/>
    </row>
    <row r="27" spans="2:28" x14ac:dyDescent="0.2">
      <c r="B27" t="s">
        <v>49</v>
      </c>
      <c r="C27" s="401">
        <f>'table 1 &amp; 2'!B28/'table 1 &amp; 2'!$B$42*100</f>
        <v>1.4364840686495515</v>
      </c>
      <c r="D27" s="522">
        <f t="shared" si="1"/>
        <v>12</v>
      </c>
      <c r="E27" s="401">
        <f>'table 1 &amp; 2'!C28/'table 1 &amp; 2'!$C$42*100</f>
        <v>2.1673143936724135</v>
      </c>
      <c r="F27" s="520">
        <f t="shared" si="2"/>
        <v>10</v>
      </c>
      <c r="G27" s="401">
        <f>'table 1 &amp; 2'!D28/'table 1 &amp; 2'!$D$42*100</f>
        <v>1.8976378407877481</v>
      </c>
      <c r="H27" s="170">
        <f t="shared" si="0"/>
        <v>12</v>
      </c>
      <c r="I27" s="401">
        <f>'table 1 &amp; 2'!E28/'table 1 &amp; 2'!$E$42*100</f>
        <v>2.0743045754815088</v>
      </c>
      <c r="J27" s="517">
        <f t="shared" si="3"/>
        <v>11</v>
      </c>
      <c r="K27" s="401">
        <f>'table 1 &amp; 2'!F28/'table 1 &amp; 2'!$F$42*100</f>
        <v>0</v>
      </c>
      <c r="L27" s="401">
        <f>'table 1 &amp; 2'!G28/'table 1 &amp; 2'!$G$42*100</f>
        <v>0</v>
      </c>
      <c r="M27" s="401">
        <f>'table 1 &amp; 2'!H28/'table 1 &amp; 2'!$H$42*100</f>
        <v>0</v>
      </c>
      <c r="N27" s="170" t="str">
        <f t="shared" si="4"/>
        <v>N/A</v>
      </c>
      <c r="Q27" s="238"/>
      <c r="R27" s="96"/>
      <c r="S27" s="46"/>
      <c r="U27" s="174"/>
    </row>
    <row r="28" spans="2:28" x14ac:dyDescent="0.2">
      <c r="B28" s="52" t="s">
        <v>50</v>
      </c>
      <c r="C28" s="400">
        <f>'table 1 &amp; 2'!B29/'table 1 &amp; 2'!$B$42*100</f>
        <v>0.25042337376088097</v>
      </c>
      <c r="D28" s="523">
        <f t="shared" si="1"/>
        <v>26</v>
      </c>
      <c r="E28" s="400">
        <f>'table 1 &amp; 2'!C29/'table 1 &amp; 2'!$C$42*100</f>
        <v>0.20099367177943031</v>
      </c>
      <c r="F28" s="519">
        <f t="shared" si="2"/>
        <v>26</v>
      </c>
      <c r="G28" s="400">
        <f>'table 1 &amp; 2'!D29/'table 1 &amp; 2'!$D$42*100</f>
        <v>0.6635414813623276</v>
      </c>
      <c r="H28" s="368">
        <f t="shared" si="0"/>
        <v>24</v>
      </c>
      <c r="I28" s="400">
        <f>'table 1 &amp; 2'!E29/'table 1 &amp; 2'!$E$42*100</f>
        <v>0.36052362428629808</v>
      </c>
      <c r="J28" s="518">
        <f t="shared" si="3"/>
        <v>26</v>
      </c>
      <c r="K28" s="400">
        <f>'table 1 &amp; 2'!F29/'table 1 &amp; 2'!$F$42*100</f>
        <v>2.4466897015395089E-3</v>
      </c>
      <c r="L28" s="400">
        <f>'table 1 &amp; 2'!G29/'table 1 &amp; 2'!$G$42*100</f>
        <v>2.5085417214923836E-3</v>
      </c>
      <c r="M28" s="400">
        <f>'table 1 &amp; 2'!H29/'table 1 &amp; 2'!$H$42*100</f>
        <v>2.4582266074125725E-3</v>
      </c>
      <c r="N28" s="368">
        <f t="shared" si="4"/>
        <v>12</v>
      </c>
      <c r="P28" s="52"/>
      <c r="Q28" s="238"/>
      <c r="R28" s="96"/>
      <c r="S28" s="46"/>
      <c r="U28" s="174"/>
    </row>
    <row r="29" spans="2:28" x14ac:dyDescent="0.2">
      <c r="B29" t="s">
        <v>51</v>
      </c>
      <c r="C29" s="401">
        <f>'table 1 &amp; 2'!B30/'table 1 &amp; 2'!$B$42*100</f>
        <v>1.2351375687970194</v>
      </c>
      <c r="D29" s="522">
        <f t="shared" si="1"/>
        <v>13</v>
      </c>
      <c r="E29" s="401">
        <f>'table 1 &amp; 2'!C30/'table 1 &amp; 2'!$C$42*100</f>
        <v>1.2948668725936683</v>
      </c>
      <c r="F29" s="520">
        <f t="shared" si="2"/>
        <v>15</v>
      </c>
      <c r="G29" s="401">
        <f>'table 1 &amp; 2'!D30/'table 1 &amp; 2'!$D$42*100</f>
        <v>1.5844154419808774</v>
      </c>
      <c r="H29" s="170">
        <f t="shared" si="0"/>
        <v>16</v>
      </c>
      <c r="I29" s="401">
        <f>'table 1 &amp; 2'!E30/'table 1 &amp; 2'!$E$42*100</f>
        <v>1.3947304295401952</v>
      </c>
      <c r="J29" s="517">
        <f t="shared" si="3"/>
        <v>15</v>
      </c>
      <c r="K29" s="401">
        <f>'table 1 &amp; 2'!F30/'table 1 &amp; 2'!$F$42*100</f>
        <v>0.86925170342698233</v>
      </c>
      <c r="L29" s="401">
        <f>'table 1 &amp; 2'!G30/'table 1 &amp; 2'!$G$42*100</f>
        <v>0.90385655797089703</v>
      </c>
      <c r="M29" s="401">
        <f>'table 1 &amp; 2'!H30/'table 1 &amp; 2'!$H$42*100</f>
        <v>0.8757063503395387</v>
      </c>
      <c r="N29" s="170">
        <f t="shared" si="4"/>
        <v>4</v>
      </c>
      <c r="Q29" s="238"/>
      <c r="R29" s="96"/>
      <c r="S29" s="46"/>
      <c r="U29" s="174"/>
    </row>
    <row r="30" spans="2:28" x14ac:dyDescent="0.2">
      <c r="B30" s="52" t="s">
        <v>52</v>
      </c>
      <c r="C30" s="400">
        <f>'table 1 &amp; 2'!B31/'table 1 &amp; 2'!$B$42*100</f>
        <v>0.62116180964909462</v>
      </c>
      <c r="D30" s="523">
        <f t="shared" si="1"/>
        <v>21</v>
      </c>
      <c r="E30" s="400">
        <f>'table 1 &amp; 2'!C31/'table 1 &amp; 2'!$C$42*100</f>
        <v>0.45345049613428307</v>
      </c>
      <c r="F30" s="519">
        <f t="shared" si="2"/>
        <v>22</v>
      </c>
      <c r="G30" s="400">
        <f>'table 1 &amp; 2'!D31/'table 1 &amp; 2'!$D$42*100</f>
        <v>1.6813601120349533</v>
      </c>
      <c r="H30" s="368">
        <f t="shared" si="0"/>
        <v>14</v>
      </c>
      <c r="I30" s="400">
        <f>'table 1 &amp; 2'!E31/'table 1 &amp; 2'!$E$42*100</f>
        <v>0.87694912405774617</v>
      </c>
      <c r="J30" s="518">
        <f t="shared" si="3"/>
        <v>21</v>
      </c>
      <c r="K30" s="400">
        <f>'table 1 &amp; 2'!F31/'table 1 &amp; 2'!$F$42*100</f>
        <v>4.5533196394347511E-2</v>
      </c>
      <c r="L30" s="400">
        <f>'table 1 &amp; 2'!G31/'table 1 &amp; 2'!$G$42*100</f>
        <v>4.3123592444863745E-2</v>
      </c>
      <c r="M30" s="400">
        <f>'table 1 &amp; 2'!H31/'table 1 &amp; 2'!$H$42*100</f>
        <v>4.5083746659678597E-2</v>
      </c>
      <c r="N30" s="368">
        <f t="shared" si="4"/>
        <v>8</v>
      </c>
      <c r="P30" s="52"/>
      <c r="Q30" s="238"/>
      <c r="R30" s="96"/>
      <c r="S30" s="46"/>
      <c r="U30" s="174"/>
    </row>
    <row r="31" spans="2:28" x14ac:dyDescent="0.2">
      <c r="B31" t="s">
        <v>53</v>
      </c>
      <c r="C31" s="401">
        <f>'table 1 &amp; 2'!B32/'table 1 &amp; 2'!$B$42*100</f>
        <v>3.703618709249664</v>
      </c>
      <c r="D31" s="522">
        <f t="shared" si="1"/>
        <v>7</v>
      </c>
      <c r="E31" s="401">
        <f>'table 1 &amp; 2'!C32/'table 1 &amp; 2'!$C$42*100</f>
        <v>3.6631479200173773</v>
      </c>
      <c r="F31" s="520">
        <f t="shared" si="2"/>
        <v>5</v>
      </c>
      <c r="G31" s="401">
        <f>'table 1 &amp; 2'!D32/'table 1 &amp; 2'!$D$42*100</f>
        <v>6.4021339231102887</v>
      </c>
      <c r="H31" s="170">
        <f t="shared" si="0"/>
        <v>5</v>
      </c>
      <c r="I31" s="401">
        <f>'table 1 &amp; 2'!E32/'table 1 &amp; 2'!$E$42*100</f>
        <v>4.6078076891002917</v>
      </c>
      <c r="J31" s="517">
        <f t="shared" si="3"/>
        <v>7</v>
      </c>
      <c r="K31" s="401">
        <f>'table 1 &amp; 2'!F32/'table 1 &amp; 2'!$F$42*100</f>
        <v>1.6715026132512467</v>
      </c>
      <c r="L31" s="401">
        <f>'table 1 &amp; 2'!G32/'table 1 &amp; 2'!$G$42*100</f>
        <v>1.6485744092551695</v>
      </c>
      <c r="M31" s="401">
        <f>'table 1 &amp; 2'!H32/'table 1 &amp; 2'!$H$42*100</f>
        <v>1.6672259456251499</v>
      </c>
      <c r="N31" s="170">
        <f t="shared" si="4"/>
        <v>3</v>
      </c>
      <c r="Q31" s="238"/>
      <c r="R31" s="96"/>
      <c r="S31" s="46"/>
      <c r="U31" s="174"/>
    </row>
    <row r="32" spans="2:28" x14ac:dyDescent="0.2">
      <c r="B32" s="52" t="s">
        <v>54</v>
      </c>
      <c r="C32" s="400">
        <f>'table 1 &amp; 2'!B33/'table 1 &amp; 2'!$B$42*100</f>
        <v>0.67351950736916377</v>
      </c>
      <c r="D32" s="523">
        <f t="shared" si="1"/>
        <v>18</v>
      </c>
      <c r="E32" s="400">
        <f>'table 1 &amp; 2'!C33/'table 1 &amp; 2'!$C$42*100</f>
        <v>0.99199793625037236</v>
      </c>
      <c r="F32" s="519">
        <f t="shared" si="2"/>
        <v>17</v>
      </c>
      <c r="G32" s="400">
        <f>'table 1 &amp; 2'!D33/'table 1 &amp; 2'!$D$42*100</f>
        <v>0.93567439704657174</v>
      </c>
      <c r="H32" s="368">
        <f t="shared" si="0"/>
        <v>19</v>
      </c>
      <c r="I32" s="400">
        <f>'table 1 &amp; 2'!E33/'table 1 &amp; 2'!$E$42*100</f>
        <v>0.97257228694872833</v>
      </c>
      <c r="J32" s="518">
        <f t="shared" si="3"/>
        <v>17</v>
      </c>
      <c r="K32" s="400">
        <f>'table 1 &amp; 2'!F33/'table 1 &amp; 2'!$F$42*100</f>
        <v>0</v>
      </c>
      <c r="L32" s="400">
        <f>'table 1 &amp; 2'!G33/'table 1 &amp; 2'!$G$42*100</f>
        <v>0</v>
      </c>
      <c r="M32" s="400">
        <f>'table 1 &amp; 2'!H33/'table 1 &amp; 2'!$H$42*100</f>
        <v>0</v>
      </c>
      <c r="N32" s="368" t="str">
        <f t="shared" si="4"/>
        <v>N/A</v>
      </c>
      <c r="P32" s="52"/>
      <c r="Q32" s="238"/>
      <c r="R32" s="96"/>
      <c r="S32" s="46"/>
    </row>
    <row r="33" spans="2:35" x14ac:dyDescent="0.2">
      <c r="B33" t="s">
        <v>55</v>
      </c>
      <c r="C33" s="401">
        <f>'table 1 &amp; 2'!B34/'table 1 &amp; 2'!$B$42*100</f>
        <v>5.5281083398807596</v>
      </c>
      <c r="D33" s="522">
        <f t="shared" si="1"/>
        <v>6</v>
      </c>
      <c r="E33" s="401">
        <f>'table 1 &amp; 2'!C34/'table 1 &amp; 2'!$C$42*100</f>
        <v>8.8877015576640748</v>
      </c>
      <c r="F33" s="520">
        <f t="shared" si="2"/>
        <v>4</v>
      </c>
      <c r="G33" s="401">
        <f>'table 1 &amp; 2'!D34/'table 1 &amp; 2'!$D$42*100</f>
        <v>5.8489789287694478</v>
      </c>
      <c r="H33" s="170">
        <f t="shared" si="0"/>
        <v>7</v>
      </c>
      <c r="I33" s="401">
        <f>'table 1 &amp; 2'!E34/'table 1 &amp; 2'!$E$42*100</f>
        <v>7.839664432364005</v>
      </c>
      <c r="J33" s="517">
        <f t="shared" si="3"/>
        <v>4</v>
      </c>
      <c r="K33" s="401">
        <f>'table 1 &amp; 2'!F34/'table 1 &amp; 2'!$F$42*100</f>
        <v>0.32095467327225569</v>
      </c>
      <c r="L33" s="401">
        <f>'table 1 &amp; 2'!G34/'table 1 &amp; 2'!$G$42*100</f>
        <v>0.32697212263404252</v>
      </c>
      <c r="M33" s="401">
        <f>'table 1 &amp; 2'!H34/'table 1 &amp; 2'!$H$42*100</f>
        <v>0.32207707391391227</v>
      </c>
      <c r="N33" s="170">
        <f t="shared" si="4"/>
        <v>6</v>
      </c>
      <c r="Q33" s="238"/>
      <c r="R33" s="96"/>
      <c r="S33" s="46"/>
    </row>
    <row r="34" spans="2:35" x14ac:dyDescent="0.2">
      <c r="B34" s="52" t="s">
        <v>56</v>
      </c>
      <c r="C34" s="400">
        <f>'table 1 &amp; 2'!B35/'table 1 &amp; 2'!$B$42*100</f>
        <v>9.3703906890731528</v>
      </c>
      <c r="D34" s="523">
        <f t="shared" si="1"/>
        <v>4</v>
      </c>
      <c r="E34" s="400">
        <f>'table 1 &amp; 2'!C35/'table 1 &amp; 2'!$C$42*100</f>
        <v>16.755389329283997</v>
      </c>
      <c r="F34" s="519">
        <f t="shared" si="2"/>
        <v>2</v>
      </c>
      <c r="G34" s="400">
        <f>'table 1 &amp; 2'!D35/'table 1 &amp; 2'!$D$42*100</f>
        <v>7.4064164864335122</v>
      </c>
      <c r="H34" s="368">
        <f t="shared" si="0"/>
        <v>4</v>
      </c>
      <c r="I34" s="400">
        <f>'table 1 &amp; 2'!E35/'table 1 &amp; 2'!$E$42*100</f>
        <v>13.530984926736197</v>
      </c>
      <c r="J34" s="518">
        <f t="shared" si="3"/>
        <v>2</v>
      </c>
      <c r="K34" s="400">
        <f>'table 1 &amp; 2'!F35/'table 1 &amp; 2'!$F$42*100</f>
        <v>0</v>
      </c>
      <c r="L34" s="400">
        <f>'table 1 &amp; 2'!G35/'table 1 &amp; 2'!$G$42*100</f>
        <v>0</v>
      </c>
      <c r="M34" s="400">
        <f>'table 1 &amp; 2'!H35/'table 1 &amp; 2'!$H$42*100</f>
        <v>0</v>
      </c>
      <c r="N34" s="368" t="str">
        <f t="shared" si="4"/>
        <v>N/A</v>
      </c>
      <c r="P34" s="52"/>
      <c r="Q34" s="238"/>
      <c r="R34" s="96"/>
      <c r="S34" s="46"/>
    </row>
    <row r="35" spans="2:35" x14ac:dyDescent="0.2">
      <c r="B35" t="s">
        <v>57</v>
      </c>
      <c r="C35" s="401">
        <f>'table 1 &amp; 2'!B36/'table 1 &amp; 2'!$B$42*100</f>
        <v>0.3329580388560065</v>
      </c>
      <c r="D35" s="522">
        <f t="shared" si="1"/>
        <v>24</v>
      </c>
      <c r="E35" s="401">
        <f>'table 1 &amp; 2'!C36/'table 1 &amp; 2'!$C$42*100</f>
        <v>0.46886516184637578</v>
      </c>
      <c r="F35" s="520">
        <f t="shared" si="2"/>
        <v>21</v>
      </c>
      <c r="G35" s="401">
        <f>'table 1 &amp; 2'!D36/'table 1 &amp; 2'!$D$42*100</f>
        <v>0.5034591216706128</v>
      </c>
      <c r="H35" s="170">
        <f t="shared" si="0"/>
        <v>28</v>
      </c>
      <c r="I35" s="401">
        <f>'table 1 &amp; 2'!E36/'table 1 &amp; 2'!$E$42*100</f>
        <v>0.48079641014860336</v>
      </c>
      <c r="J35" s="517">
        <f t="shared" si="3"/>
        <v>24</v>
      </c>
      <c r="K35" s="401">
        <f>'table 1 &amp; 2'!F36/'table 1 &amp; 2'!$F$42*100</f>
        <v>0</v>
      </c>
      <c r="L35" s="401">
        <f>'table 1 &amp; 2'!G36/'table 1 &amp; 2'!$G$42*100</f>
        <v>0</v>
      </c>
      <c r="M35" s="401">
        <f>'table 1 &amp; 2'!H36/'table 1 &amp; 2'!$H$42*100</f>
        <v>0</v>
      </c>
      <c r="N35" s="170" t="str">
        <f t="shared" si="4"/>
        <v>N/A</v>
      </c>
      <c r="Q35" s="238"/>
      <c r="R35" s="96"/>
      <c r="S35" s="46"/>
    </row>
    <row r="36" spans="2:35" x14ac:dyDescent="0.2">
      <c r="B36" s="52" t="s">
        <v>58</v>
      </c>
      <c r="C36" s="400">
        <f>'table 1 &amp; 2'!B37/'table 1 &amp; 2'!$B$42*100</f>
        <v>0.3325269141467137</v>
      </c>
      <c r="D36" s="523">
        <f t="shared" si="1"/>
        <v>25</v>
      </c>
      <c r="E36" s="400">
        <f>'table 1 &amp; 2'!C37/'table 1 &amp; 2'!$C$42*100</f>
        <v>0.37055260382680488</v>
      </c>
      <c r="F36" s="519">
        <f t="shared" si="2"/>
        <v>24</v>
      </c>
      <c r="G36" s="400">
        <f>'table 1 &amp; 2'!D37/'table 1 &amp; 2'!$D$42*100</f>
        <v>0.6883930528518345</v>
      </c>
      <c r="H36" s="368">
        <f t="shared" si="0"/>
        <v>23</v>
      </c>
      <c r="I36" s="400">
        <f>'table 1 &amp; 2'!E37/'table 1 &amp; 2'!$E$42*100</f>
        <v>0.48017385959158271</v>
      </c>
      <c r="J36" s="518">
        <f t="shared" si="3"/>
        <v>25</v>
      </c>
      <c r="K36" s="400">
        <f>'table 1 &amp; 2'!F37/'table 1 &amp; 2'!$F$42*100</f>
        <v>0</v>
      </c>
      <c r="L36" s="400">
        <f>'table 1 &amp; 2'!G37/'table 1 &amp; 2'!$G$42*100</f>
        <v>0</v>
      </c>
      <c r="M36" s="400">
        <f>'table 1 &amp; 2'!H37/'table 1 &amp; 2'!$H$42*100</f>
        <v>0</v>
      </c>
      <c r="N36" s="368" t="str">
        <f t="shared" si="4"/>
        <v>N/A</v>
      </c>
      <c r="P36" s="52"/>
      <c r="Q36" s="238"/>
      <c r="R36" s="96"/>
      <c r="S36" s="46"/>
    </row>
    <row r="37" spans="2:35" x14ac:dyDescent="0.2">
      <c r="B37" t="s">
        <v>59</v>
      </c>
      <c r="C37" s="401">
        <f>'table 1 &amp; 2'!B38/'table 1 &amp; 2'!$B$42*100</f>
        <v>1.6657858830068106</v>
      </c>
      <c r="D37" s="522">
        <f t="shared" si="1"/>
        <v>9</v>
      </c>
      <c r="E37" s="401">
        <f>'table 1 &amp; 2'!C38/'table 1 &amp; 2'!$C$42*100</f>
        <v>2.3714582881652655</v>
      </c>
      <c r="F37" s="520">
        <f t="shared" si="2"/>
        <v>7</v>
      </c>
      <c r="G37" s="401">
        <f>'table 1 &amp; 2'!D38/'table 1 &amp; 2'!$D$42*100</f>
        <v>2.469927831140585</v>
      </c>
      <c r="H37" s="170">
        <f t="shared" si="0"/>
        <v>10</v>
      </c>
      <c r="I37" s="401">
        <f>'table 1 &amp; 2'!E38/'table 1 &amp; 2'!$E$42*100</f>
        <v>2.4054198402227516</v>
      </c>
      <c r="J37" s="517">
        <f t="shared" si="3"/>
        <v>9</v>
      </c>
      <c r="K37" s="401">
        <f>'table 1 &amp; 2'!F38/'table 1 &amp; 2'!$F$42*100</f>
        <v>0</v>
      </c>
      <c r="L37" s="401">
        <f>'table 1 &amp; 2'!G38/'table 1 &amp; 2'!$G$42*100</f>
        <v>0</v>
      </c>
      <c r="M37" s="401">
        <f>'table 1 &amp; 2'!H38/'table 1 &amp; 2'!$H$42*100</f>
        <v>0</v>
      </c>
      <c r="N37" s="170" t="str">
        <f t="shared" si="4"/>
        <v>N/A</v>
      </c>
      <c r="Q37" s="238"/>
      <c r="R37" s="96"/>
      <c r="S37" s="46"/>
    </row>
    <row r="38" spans="2:35" x14ac:dyDescent="0.2">
      <c r="B38" s="52" t="s">
        <v>60</v>
      </c>
      <c r="C38" s="400">
        <f>'table 1 &amp; 2'!B39/'table 1 &amp; 2'!$B$42*100</f>
        <v>0.52588532726473947</v>
      </c>
      <c r="D38" s="523">
        <f t="shared" si="1"/>
        <v>22</v>
      </c>
      <c r="E38" s="400">
        <f>'table 1 &amp; 2'!C39/'table 1 &amp; 2'!$C$42*100</f>
        <v>0.45272921584901349</v>
      </c>
      <c r="F38" s="519">
        <f t="shared" si="2"/>
        <v>23</v>
      </c>
      <c r="G38" s="400">
        <f>'table 1 &amp; 2'!D39/'table 1 &amp; 2'!$D$42*100</f>
        <v>1.3418636155953654</v>
      </c>
      <c r="H38" s="368">
        <f t="shared" si="0"/>
        <v>18</v>
      </c>
      <c r="I38" s="400">
        <f>'table 1 &amp; 2'!E39/'table 1 &amp; 2'!$E$42*100</f>
        <v>0.75938631296436998</v>
      </c>
      <c r="J38" s="518">
        <f t="shared" si="3"/>
        <v>22</v>
      </c>
      <c r="K38" s="400">
        <f>'table 1 &amp; 2'!F39/'table 1 &amp; 2'!$F$42*100</f>
        <v>0</v>
      </c>
      <c r="L38" s="400">
        <f>'table 1 &amp; 2'!G39/'table 1 &amp; 2'!$G$42*100</f>
        <v>0</v>
      </c>
      <c r="M38" s="400">
        <f>'table 1 &amp; 2'!H39/'table 1 &amp; 2'!$H$42*100</f>
        <v>0</v>
      </c>
      <c r="N38" s="368" t="str">
        <f t="shared" si="4"/>
        <v>N/A</v>
      </c>
      <c r="P38" s="52"/>
      <c r="Q38" s="238"/>
      <c r="R38" s="96"/>
      <c r="S38" s="46"/>
    </row>
    <row r="39" spans="2:35" x14ac:dyDescent="0.2">
      <c r="B39" t="s">
        <v>61</v>
      </c>
      <c r="C39" s="401">
        <f>'table 1 &amp; 2'!B40/'table 1 &amp; 2'!$B$42*100</f>
        <v>0.17817320011735108</v>
      </c>
      <c r="D39" s="522">
        <f t="shared" si="1"/>
        <v>28</v>
      </c>
      <c r="E39" s="401">
        <f>'table 1 &amp; 2'!C40/'table 1 &amp; 2'!$C$42*100</f>
        <v>8.9286646279502391E-2</v>
      </c>
      <c r="F39" s="520">
        <f t="shared" si="2"/>
        <v>29</v>
      </c>
      <c r="G39" s="401">
        <f>'table 1 &amp; 2'!D40/'table 1 &amp; 2'!$D$42*100</f>
        <v>0.55156678461827391</v>
      </c>
      <c r="H39" s="170">
        <f t="shared" si="0"/>
        <v>27</v>
      </c>
      <c r="I39" s="401">
        <f>'table 1 &amp; 2'!E40/'table 1 &amp; 2'!$E$42*100</f>
        <v>0.24872428058708751</v>
      </c>
      <c r="J39" s="517">
        <f t="shared" si="3"/>
        <v>29</v>
      </c>
      <c r="K39" s="401">
        <f>'table 1 &amp; 2'!F40/'table 1 &amp; 2'!$F$42*100</f>
        <v>1.9411778513738036E-2</v>
      </c>
      <c r="L39" s="401">
        <f>'table 1 &amp; 2'!G40/'table 1 &amp; 2'!$G$42*100</f>
        <v>1.8703924340352066E-2</v>
      </c>
      <c r="M39" s="401">
        <f>'table 1 &amp; 2'!H40/'table 1 &amp; 2'!$H$42*100</f>
        <v>1.9279746496409726E-2</v>
      </c>
      <c r="N39" s="170">
        <f>IF(M39=0,"N/A",RANK(M39,$M$8:$M$40))</f>
        <v>11</v>
      </c>
      <c r="Q39" s="238"/>
      <c r="R39" s="96"/>
      <c r="S39" s="46"/>
    </row>
    <row r="40" spans="2:35" x14ac:dyDescent="0.2">
      <c r="B40" s="52" t="s">
        <v>62</v>
      </c>
      <c r="C40" s="400">
        <f>'table 1 &amp; 2'!B41/'table 1 &amp; 2'!$B$42*100</f>
        <v>1.9907342669202637</v>
      </c>
      <c r="D40" s="523">
        <f t="shared" si="1"/>
        <v>8</v>
      </c>
      <c r="E40" s="400">
        <f>'table 1 &amp; 2'!C41/'table 1 &amp; 2'!$C$42*100</f>
        <v>2.9928941923311316</v>
      </c>
      <c r="F40" s="519">
        <f t="shared" si="2"/>
        <v>6</v>
      </c>
      <c r="G40" s="400">
        <f>'table 1 &amp; 2'!D41/'table 1 &amp; 2'!$D$42*100</f>
        <v>2.6500525867319866</v>
      </c>
      <c r="H40" s="368">
        <f t="shared" si="0"/>
        <v>8</v>
      </c>
      <c r="I40" s="400">
        <f>'table 1 &amp; 2'!E41/'table 1 &amp; 2'!$E$42*100</f>
        <v>2.8746501883049751</v>
      </c>
      <c r="J40" s="518">
        <f t="shared" si="3"/>
        <v>8</v>
      </c>
      <c r="K40" s="400">
        <f>'table 1 &amp; 2'!F41/'table 1 &amp; 2'!$F$42*100</f>
        <v>0</v>
      </c>
      <c r="L40" s="400">
        <f>'table 1 &amp; 2'!G41/'table 1 &amp; 2'!$G$42*100</f>
        <v>0</v>
      </c>
      <c r="M40" s="400">
        <f>'table 1 &amp; 2'!H41/'table 1 &amp; 2'!$H$42*100</f>
        <v>0</v>
      </c>
      <c r="N40" s="368" t="str">
        <f t="shared" si="4"/>
        <v>N/A</v>
      </c>
      <c r="P40" s="52"/>
      <c r="Q40" s="238"/>
      <c r="R40" s="96"/>
      <c r="S40" s="46"/>
    </row>
    <row r="41" spans="2:35" ht="13.5" thickBot="1" x14ac:dyDescent="0.25">
      <c r="B41" s="47" t="s">
        <v>63</v>
      </c>
      <c r="C41" s="402">
        <f>SUM(C8:C40)</f>
        <v>100.00000000000003</v>
      </c>
      <c r="D41" s="407"/>
      <c r="E41" s="402">
        <f>SUM(E8:E40)</f>
        <v>100.00000000000003</v>
      </c>
      <c r="F41" s="406"/>
      <c r="G41" s="402">
        <f>SUM(G8:G40)</f>
        <v>100</v>
      </c>
      <c r="H41" s="406"/>
      <c r="I41" s="402">
        <f>SUM(I8:I40)</f>
        <v>100</v>
      </c>
      <c r="J41" s="407"/>
      <c r="K41" s="402">
        <f t="shared" ref="K41:L41" si="5">SUM(K8:K40)</f>
        <v>100.00000000000001</v>
      </c>
      <c r="L41" s="402">
        <f t="shared" si="5"/>
        <v>100.00000000000003</v>
      </c>
      <c r="M41" s="402">
        <f>SUM(M8:M40)</f>
        <v>100.00000000000001</v>
      </c>
      <c r="N41" s="405"/>
      <c r="Q41" s="238"/>
    </row>
    <row r="42" spans="2:35" x14ac:dyDescent="0.2">
      <c r="B42" t="s">
        <v>402</v>
      </c>
    </row>
    <row r="44" spans="2:35" x14ac:dyDescent="0.2">
      <c r="B44" s="7" t="s">
        <v>497</v>
      </c>
      <c r="C44" s="7"/>
      <c r="J44" s="7" t="str">
        <f>E2</f>
        <v>2025 Tax Year</v>
      </c>
    </row>
    <row r="45" spans="2:35" x14ac:dyDescent="0.2">
      <c r="B45" s="7" t="s">
        <v>410</v>
      </c>
      <c r="C45" s="7"/>
    </row>
    <row r="46" spans="2:35" x14ac:dyDescent="0.2">
      <c r="E46" s="117"/>
      <c r="G46" s="46" t="s">
        <v>5</v>
      </c>
      <c r="H46" s="46"/>
      <c r="K46" s="201" t="s">
        <v>318</v>
      </c>
    </row>
    <row r="47" spans="2:35" ht="13.5" thickBot="1" x14ac:dyDescent="0.25">
      <c r="B47" s="47" t="s">
        <v>27</v>
      </c>
      <c r="C47" s="244" t="s">
        <v>8</v>
      </c>
      <c r="D47" s="67" t="s">
        <v>332</v>
      </c>
      <c r="E47" s="221" t="s">
        <v>9</v>
      </c>
      <c r="F47" s="67" t="s">
        <v>332</v>
      </c>
      <c r="G47" s="67" t="s">
        <v>66</v>
      </c>
      <c r="H47" s="67" t="s">
        <v>332</v>
      </c>
      <c r="I47" s="171" t="s">
        <v>29</v>
      </c>
      <c r="J47" s="67" t="s">
        <v>332</v>
      </c>
      <c r="K47" s="221" t="s">
        <v>30</v>
      </c>
      <c r="L47" s="171" t="s">
        <v>10</v>
      </c>
      <c r="M47" s="171" t="s">
        <v>29</v>
      </c>
      <c r="N47" s="67" t="s">
        <v>332</v>
      </c>
      <c r="Q47" s="211">
        <f>+Q48+Q49+Q50+Q51</f>
        <v>68.384443148960742</v>
      </c>
    </row>
    <row r="48" spans="2:35" ht="13.5" thickBot="1" x14ac:dyDescent="0.25">
      <c r="B48" s="52" t="s">
        <v>31</v>
      </c>
      <c r="C48" s="400">
        <f>'table 1 &amp; 2'!B51/'table 1 &amp; 2'!$B$84*100</f>
        <v>30.221067685222391</v>
      </c>
      <c r="D48" s="368">
        <f>RANK(C48,$C$48:$C$80)</f>
        <v>1</v>
      </c>
      <c r="E48" s="403">
        <f>'table 1 &amp; 2'!C51/'table 1 &amp; 2'!$C$84*100</f>
        <v>46.117583284654188</v>
      </c>
      <c r="F48" s="368">
        <f>RANK(E48,$E$48:$E$80)</f>
        <v>1</v>
      </c>
      <c r="G48" s="400">
        <f>'table 1 &amp; 2'!D51/'table 1 &amp; 2'!$D$84*100</f>
        <v>29.287447241267916</v>
      </c>
      <c r="H48" s="368"/>
      <c r="I48" s="400">
        <f>'table 1 &amp; 2'!E51/'table 1 &amp; 2'!$E$84*100</f>
        <v>40.441585574826469</v>
      </c>
      <c r="J48" s="368">
        <f>RANK(I48,$I$48:$I$80)</f>
        <v>1</v>
      </c>
      <c r="K48" s="403">
        <f>'table 1 &amp; 2'!F51/'table 1 &amp; 2'!$F$84*100</f>
        <v>0</v>
      </c>
      <c r="L48" s="400">
        <f>'table 1 &amp; 2'!G51/'table 1 &amp; 2'!$G$84*100</f>
        <v>0</v>
      </c>
      <c r="M48" s="400">
        <f>'table 1 &amp; 2'!H51/'table 1 &amp; 2'!$H$84*100</f>
        <v>0</v>
      </c>
      <c r="N48" s="368" t="str">
        <f>IF(M48=0,"N/A",RANK(M48,$M$48:$M$80))</f>
        <v>N/A</v>
      </c>
      <c r="P48" t="str">
        <f>+B48</f>
        <v>Bernalillo</v>
      </c>
      <c r="Q48" s="211">
        <f>+E48</f>
        <v>46.117583284654188</v>
      </c>
      <c r="AE48" s="559" t="s">
        <v>579</v>
      </c>
      <c r="AF48" s="560"/>
      <c r="AG48" s="560"/>
      <c r="AH48" s="560"/>
      <c r="AI48" s="560"/>
    </row>
    <row r="49" spans="2:35" ht="13.5" thickBot="1" x14ac:dyDescent="0.25">
      <c r="B49" t="s">
        <v>32</v>
      </c>
      <c r="C49" s="401">
        <f>'table 1 &amp; 2'!B52/'table 1 &amp; 2'!$B$84*100</f>
        <v>8.9189249769814155E-2</v>
      </c>
      <c r="D49" s="170">
        <f t="shared" ref="D49:D80" si="6">RANK(C49,$C$48:$C$80)</f>
        <v>31</v>
      </c>
      <c r="E49" s="404">
        <f>'table 1 &amp; 2'!C52/'table 1 &amp; 2'!$C$84*100</f>
        <v>7.5216075241485367E-2</v>
      </c>
      <c r="F49" s="170">
        <f t="shared" ref="F49:F80" si="7">RANK(E49,$E$48:$E$80)</f>
        <v>30</v>
      </c>
      <c r="G49" s="401">
        <f>'table 1 &amp; 2'!D52/'table 1 &amp; 2'!$D$84*100</f>
        <v>0.20608629706658438</v>
      </c>
      <c r="H49" s="170"/>
      <c r="I49" s="401">
        <f>'table 1 &amp; 2'!E52/'table 1 &amp; 2'!$E$84*100</f>
        <v>0.11935232449395733</v>
      </c>
      <c r="J49" s="170">
        <f t="shared" ref="J49:J80" si="8">RANK(I49,$I$48:$I$80)</f>
        <v>31</v>
      </c>
      <c r="K49" s="404">
        <f>'table 1 &amp; 2'!F52/'table 1 &amp; 2'!$F$84*100</f>
        <v>0</v>
      </c>
      <c r="L49" s="401">
        <f>'table 1 &amp; 2'!G52/'table 1 &amp; 2'!$G$84*100</f>
        <v>0</v>
      </c>
      <c r="M49" s="401">
        <f>'table 1 &amp; 2'!H52/'table 1 &amp; 2'!$H$84*100</f>
        <v>0</v>
      </c>
      <c r="N49" s="170" t="str">
        <f t="shared" ref="N49:N80" si="9">IF(M49=0,"N/A",RANK(M49,$M$48:$M$80))</f>
        <v>N/A</v>
      </c>
      <c r="P49" t="str">
        <f>+B74</f>
        <v>Santa Fe</v>
      </c>
      <c r="Q49" s="211">
        <f>+E74</f>
        <v>10.503942111501408</v>
      </c>
      <c r="AE49" s="562">
        <f>E48+E74+E55+E73</f>
        <v>74.940816874463152</v>
      </c>
      <c r="AF49" s="563" t="s">
        <v>560</v>
      </c>
      <c r="AG49" s="564"/>
      <c r="AH49" s="564"/>
      <c r="AI49" s="565"/>
    </row>
    <row r="50" spans="2:35" x14ac:dyDescent="0.2">
      <c r="B50" s="52" t="s">
        <v>33</v>
      </c>
      <c r="C50" s="400">
        <f>'table 1 &amp; 2'!B53/'table 1 &amp; 2'!$B$84*100</f>
        <v>1.3326097094199316</v>
      </c>
      <c r="D50" s="368">
        <f t="shared" si="6"/>
        <v>9</v>
      </c>
      <c r="E50" s="403">
        <f>'table 1 &amp; 2'!C53/'table 1 &amp; 2'!$C$84*100</f>
        <v>1.4332669538290372</v>
      </c>
      <c r="F50" s="368">
        <f t="shared" si="7"/>
        <v>12</v>
      </c>
      <c r="G50" s="400">
        <f>'table 1 &amp; 2'!D53/'table 1 &amp; 2'!$D$84*100</f>
        <v>2.2255208778945845</v>
      </c>
      <c r="H50" s="368"/>
      <c r="I50" s="400">
        <f>'table 1 &amp; 2'!E53/'table 1 &amp; 2'!$E$84*100</f>
        <v>1.700456205716588</v>
      </c>
      <c r="J50" s="368">
        <f t="shared" si="8"/>
        <v>10</v>
      </c>
      <c r="K50" s="403">
        <f>'table 1 &amp; 2'!F53/'table 1 &amp; 2'!$F$84*100</f>
        <v>0.24495458199453946</v>
      </c>
      <c r="L50" s="400">
        <f>'table 1 &amp; 2'!G53/'table 1 &amp; 2'!$G$84*100</f>
        <v>0.24478928037107214</v>
      </c>
      <c r="M50" s="400">
        <f>'table 1 &amp; 2'!H53/'table 1 &amp; 2'!$H$84*100</f>
        <v>0.24492374453740309</v>
      </c>
      <c r="N50" s="368">
        <f t="shared" si="9"/>
        <v>7</v>
      </c>
      <c r="P50" t="str">
        <f>+B73</f>
        <v>Sandoval</v>
      </c>
      <c r="Q50">
        <f>+F73</f>
        <v>3</v>
      </c>
      <c r="AE50" s="211"/>
    </row>
    <row r="51" spans="2:35" x14ac:dyDescent="0.2">
      <c r="B51" t="s">
        <v>34</v>
      </c>
      <c r="C51" s="401">
        <f>'table 1 &amp; 2'!B54/'table 1 &amp; 2'!$B$84*100</f>
        <v>0.43495119899096857</v>
      </c>
      <c r="D51" s="170">
        <f t="shared" si="6"/>
        <v>22</v>
      </c>
      <c r="E51" s="404">
        <f>'table 1 &amp; 2'!C54/'table 1 &amp; 2'!$C$84*100</f>
        <v>0.37097476872627388</v>
      </c>
      <c r="F51" s="170">
        <f t="shared" si="7"/>
        <v>23</v>
      </c>
      <c r="G51" s="401">
        <f>'table 1 &amp; 2'!D54/'table 1 &amp; 2'!$D$84*100</f>
        <v>0.9968371597133352</v>
      </c>
      <c r="H51" s="170"/>
      <c r="I51" s="401">
        <f>'table 1 &amp; 2'!E54/'table 1 &amp; 2'!$E$84*100</f>
        <v>0.58204813668670985</v>
      </c>
      <c r="J51" s="170">
        <f t="shared" si="8"/>
        <v>22</v>
      </c>
      <c r="K51" s="404">
        <f>'table 1 &amp; 2'!F54/'table 1 &amp; 2'!$F$84*100</f>
        <v>0</v>
      </c>
      <c r="L51" s="401">
        <f>'table 1 &amp; 2'!G54/'table 1 &amp; 2'!$G$84*100</f>
        <v>0</v>
      </c>
      <c r="M51" s="401">
        <f>'table 1 &amp; 2'!H54/'table 1 &amp; 2'!$H$84*100</f>
        <v>0</v>
      </c>
      <c r="N51" s="170" t="str">
        <f t="shared" si="9"/>
        <v>N/A</v>
      </c>
      <c r="P51" t="str">
        <f>+B55</f>
        <v>Dona Ana</v>
      </c>
      <c r="Q51" s="211">
        <f>+E55</f>
        <v>8.762917752805139</v>
      </c>
    </row>
    <row r="52" spans="2:35" x14ac:dyDescent="0.2">
      <c r="B52" s="52" t="s">
        <v>35</v>
      </c>
      <c r="C52" s="400">
        <f>'table 1 &amp; 2'!B55/'table 1 &amp; 2'!$B$84*100</f>
        <v>0.69140018646602386</v>
      </c>
      <c r="D52" s="368">
        <f t="shared" si="6"/>
        <v>17</v>
      </c>
      <c r="E52" s="403">
        <f>'table 1 &amp; 2'!C55/'table 1 &amp; 2'!$C$84*100</f>
        <v>0.94309680011001773</v>
      </c>
      <c r="F52" s="368">
        <f t="shared" si="7"/>
        <v>16</v>
      </c>
      <c r="G52" s="400">
        <f>'table 1 &amp; 2'!D55/'table 1 &amp; 2'!$D$84*100</f>
        <v>0.8493484171141602</v>
      </c>
      <c r="H52" s="368"/>
      <c r="I52" s="400">
        <f>'table 1 &amp; 2'!E55/'table 1 &amp; 2'!$E$84*100</f>
        <v>0.91147996672181453</v>
      </c>
      <c r="J52" s="368">
        <f t="shared" si="8"/>
        <v>17</v>
      </c>
      <c r="K52" s="403">
        <f>'table 1 &amp; 2'!F55/'table 1 &amp; 2'!$F$84*100</f>
        <v>4.1226185476455013E-2</v>
      </c>
      <c r="L52" s="400">
        <f>'table 1 &amp; 2'!G55/'table 1 &amp; 2'!$G$84*100</f>
        <v>3.8115556447817674E-2</v>
      </c>
      <c r="M52" s="400">
        <f>'table 1 &amp; 2'!H55/'table 1 &amp; 2'!$H$84*100</f>
        <v>4.0645889364865337E-2</v>
      </c>
      <c r="N52" s="368">
        <f t="shared" si="9"/>
        <v>10</v>
      </c>
    </row>
    <row r="53" spans="2:35" x14ac:dyDescent="0.2">
      <c r="B53" t="s">
        <v>36</v>
      </c>
      <c r="C53" s="401">
        <f>'table 1 &amp; 2'!B56/'table 1 &amp; 2'!$B$84*100</f>
        <v>0.89613927406539451</v>
      </c>
      <c r="D53" s="170">
        <f t="shared" si="6"/>
        <v>14</v>
      </c>
      <c r="E53" s="404">
        <f>'table 1 &amp; 2'!C56/'table 1 &amp; 2'!$C$84*100</f>
        <v>1.1724224412383233</v>
      </c>
      <c r="F53" s="170">
        <f t="shared" si="7"/>
        <v>14</v>
      </c>
      <c r="G53" s="401">
        <f>'table 1 &amp; 2'!D56/'table 1 &amp; 2'!$D$84*100</f>
        <v>1.2518402117533276</v>
      </c>
      <c r="H53" s="170"/>
      <c r="I53" s="401">
        <f>'table 1 &amp; 2'!E56/'table 1 &amp; 2'!$E$84*100</f>
        <v>1.1992062463365554</v>
      </c>
      <c r="J53" s="170">
        <f t="shared" si="8"/>
        <v>14</v>
      </c>
      <c r="K53" s="404">
        <f>'table 1 &amp; 2'!F56/'table 1 &amp; 2'!$F$84*100</f>
        <v>0</v>
      </c>
      <c r="L53" s="401">
        <f>'table 1 &amp; 2'!G56/'table 1 &amp; 2'!$G$84*100</f>
        <v>0</v>
      </c>
      <c r="M53" s="401">
        <f>'table 1 &amp; 2'!H56/'table 1 &amp; 2'!$H$84*100</f>
        <v>0</v>
      </c>
      <c r="N53" s="170" t="str">
        <f t="shared" si="9"/>
        <v>N/A</v>
      </c>
    </row>
    <row r="54" spans="2:35" x14ac:dyDescent="0.2">
      <c r="B54" s="52" t="s">
        <v>67</v>
      </c>
      <c r="C54" s="400">
        <f>'table 1 &amp; 2'!B57/'table 1 &amp; 2'!$B$84*100</f>
        <v>6.5473332593861136E-2</v>
      </c>
      <c r="D54" s="368">
        <f t="shared" si="6"/>
        <v>32</v>
      </c>
      <c r="E54" s="403">
        <f>'table 1 &amp; 2'!C57/'table 1 &amp; 2'!$C$84*100</f>
        <v>2.625958279705656E-2</v>
      </c>
      <c r="F54" s="368">
        <f t="shared" si="7"/>
        <v>32</v>
      </c>
      <c r="G54" s="400">
        <f>'table 1 &amp; 2'!D57/'table 1 &amp; 2'!$D$84*100</f>
        <v>0.20818967688691215</v>
      </c>
      <c r="H54" s="368"/>
      <c r="I54" s="400">
        <f>'table 1 &amp; 2'!E57/'table 1 &amp; 2'!$E$84*100</f>
        <v>8.7615878119966739E-2</v>
      </c>
      <c r="J54" s="368">
        <f t="shared" si="8"/>
        <v>32</v>
      </c>
      <c r="K54" s="403">
        <f>'table 1 &amp; 2'!F57/'table 1 &amp; 2'!$F$84*100</f>
        <v>0</v>
      </c>
      <c r="L54" s="400">
        <f>'table 1 &amp; 2'!G57/'table 1 &amp; 2'!$G$84*100</f>
        <v>0</v>
      </c>
      <c r="M54" s="400">
        <f>'table 1 &amp; 2'!H57/'table 1 &amp; 2'!$H$84*100</f>
        <v>0</v>
      </c>
      <c r="N54" s="368" t="str">
        <f t="shared" si="9"/>
        <v>N/A</v>
      </c>
    </row>
    <row r="55" spans="2:35" x14ac:dyDescent="0.2">
      <c r="B55" t="s">
        <v>37</v>
      </c>
      <c r="C55" s="401">
        <f>'table 1 &amp; 2'!B58/'table 1 &amp; 2'!$B$84*100</f>
        <v>6.0615385730594316</v>
      </c>
      <c r="D55" s="170">
        <f t="shared" si="6"/>
        <v>6</v>
      </c>
      <c r="E55" s="404">
        <f>'table 1 &amp; 2'!C58/'table 1 &amp; 2'!$C$84*100</f>
        <v>8.762917752805139</v>
      </c>
      <c r="F55" s="170">
        <f t="shared" si="7"/>
        <v>4</v>
      </c>
      <c r="G55" s="401">
        <f>'table 1 &amp; 2'!D58/'table 1 &amp; 2'!$D$84*100</f>
        <v>6.8313759395934346</v>
      </c>
      <c r="H55" s="170"/>
      <c r="I55" s="401">
        <f>'table 1 &amp; 2'!E58/'table 1 &amp; 2'!$E$84*100</f>
        <v>8.1115013364456043</v>
      </c>
      <c r="J55" s="170">
        <f t="shared" si="8"/>
        <v>4</v>
      </c>
      <c r="K55" s="404">
        <f>'table 1 &amp; 2'!F58/'table 1 &amp; 2'!$F$84*100</f>
        <v>0</v>
      </c>
      <c r="L55" s="401">
        <f>'table 1 &amp; 2'!G58/'table 1 &amp; 2'!$G$84*100</f>
        <v>0</v>
      </c>
      <c r="M55" s="401">
        <f>'table 1 &amp; 2'!H58/'table 1 &amp; 2'!$H$84*100</f>
        <v>0</v>
      </c>
      <c r="N55" s="170" t="str">
        <f t="shared" si="9"/>
        <v>N/A</v>
      </c>
      <c r="Z55">
        <v>3</v>
      </c>
    </row>
    <row r="56" spans="2:35" x14ac:dyDescent="0.2">
      <c r="B56" s="52" t="s">
        <v>38</v>
      </c>
      <c r="C56" s="400">
        <f>'table 1 &amp; 2'!B59/'table 1 &amp; 2'!$B$84*100</f>
        <v>13.034134631453414</v>
      </c>
      <c r="D56" s="368">
        <f t="shared" si="6"/>
        <v>3</v>
      </c>
      <c r="E56" s="403">
        <f>'table 1 &amp; 2'!C59/'table 1 &amp; 2'!$C$84*100</f>
        <v>1.628542256366124</v>
      </c>
      <c r="F56" s="368">
        <f t="shared" si="7"/>
        <v>8</v>
      </c>
      <c r="G56" s="400">
        <f>'table 1 &amp; 2'!D59/'table 1 &amp; 2'!$D$84*100</f>
        <v>9.5489194599412439</v>
      </c>
      <c r="H56" s="368"/>
      <c r="I56" s="400">
        <f>'table 1 &amp; 2'!E59/'table 1 &amp; 2'!$E$84*100</f>
        <v>4.2997056238262745</v>
      </c>
      <c r="J56" s="368">
        <f t="shared" si="8"/>
        <v>5</v>
      </c>
      <c r="K56" s="403">
        <f>'table 1 &amp; 2'!F59/'table 1 &amp; 2'!$F$84*100</f>
        <v>38.905552202112439</v>
      </c>
      <c r="L56" s="400">
        <f>'table 1 &amp; 2'!G59/'table 1 &amp; 2'!$G$84*100</f>
        <v>38.666645035212603</v>
      </c>
      <c r="M56" s="400">
        <f>'table 1 &amp; 2'!H59/'table 1 &amp; 2'!$H$84*100</f>
        <v>38.86098343524678</v>
      </c>
      <c r="N56" s="368">
        <f t="shared" si="9"/>
        <v>2</v>
      </c>
    </row>
    <row r="57" spans="2:35" x14ac:dyDescent="0.2">
      <c r="B57" t="s">
        <v>39</v>
      </c>
      <c r="C57" s="401">
        <f>'table 1 &amp; 2'!B60/'table 1 &amp; 2'!$B$84*100</f>
        <v>0.6679702056482546</v>
      </c>
      <c r="D57" s="170">
        <f t="shared" si="6"/>
        <v>18</v>
      </c>
      <c r="E57" s="404">
        <f>'table 1 &amp; 2'!C60/'table 1 &amp; 2'!$C$84*100</f>
        <v>0.69070663525457643</v>
      </c>
      <c r="F57" s="170">
        <f t="shared" si="7"/>
        <v>18</v>
      </c>
      <c r="G57" s="401">
        <f>'table 1 &amp; 2'!D60/'table 1 &amp; 2'!$D$84*100</f>
        <v>0.8117397519783357</v>
      </c>
      <c r="H57" s="170"/>
      <c r="I57" s="401">
        <f>'table 1 &amp; 2'!E60/'table 1 &amp; 2'!$E$84*100</f>
        <v>0.73152530074642985</v>
      </c>
      <c r="J57" s="170">
        <f t="shared" si="8"/>
        <v>19</v>
      </c>
      <c r="K57" s="404">
        <f>'table 1 &amp; 2'!F60/'table 1 &amp; 2'!$F$84*100</f>
        <v>0.59013534841728865</v>
      </c>
      <c r="L57" s="401">
        <f>'table 1 &amp; 2'!G60/'table 1 &amp; 2'!$G$84*100</f>
        <v>0</v>
      </c>
      <c r="M57" s="401">
        <f>'table 1 &amp; 2'!H60/'table 1 &amp; 2'!$H$84*100</f>
        <v>0.48004403092315906</v>
      </c>
      <c r="N57" s="170">
        <f t="shared" si="9"/>
        <v>5</v>
      </c>
    </row>
    <row r="58" spans="2:35" x14ac:dyDescent="0.2">
      <c r="B58" s="52" t="s">
        <v>40</v>
      </c>
      <c r="C58" s="400">
        <f>'table 1 &amp; 2'!B61/'table 1 &amp; 2'!$B$84*100</f>
        <v>0.18058374297266069</v>
      </c>
      <c r="D58" s="368">
        <f t="shared" si="6"/>
        <v>27</v>
      </c>
      <c r="E58" s="403">
        <f>'table 1 &amp; 2'!C61/'table 1 &amp; 2'!$C$84*100</f>
        <v>7.944998861363517E-2</v>
      </c>
      <c r="F58" s="368">
        <f t="shared" si="7"/>
        <v>28</v>
      </c>
      <c r="G58" s="400">
        <f>'table 1 &amp; 2'!D61/'table 1 &amp; 2'!$D$84*100</f>
        <v>0.56041282940277215</v>
      </c>
      <c r="H58" s="368"/>
      <c r="I58" s="400">
        <f>'table 1 &amp; 2'!E61/'table 1 &amp; 2'!$E$84*100</f>
        <v>0.2416556877116032</v>
      </c>
      <c r="J58" s="368">
        <f t="shared" si="8"/>
        <v>27</v>
      </c>
      <c r="K58" s="403">
        <f>'table 1 &amp; 2'!F61/'table 1 &amp; 2'!$F$84*100</f>
        <v>0</v>
      </c>
      <c r="L58" s="400">
        <f>'table 1 &amp; 2'!G61/'table 1 &amp; 2'!$G$84*100</f>
        <v>0</v>
      </c>
      <c r="M58" s="400">
        <f>'table 1 &amp; 2'!H61/'table 1 &amp; 2'!$H$84*100</f>
        <v>0</v>
      </c>
      <c r="N58" s="368" t="str">
        <f t="shared" si="9"/>
        <v>N/A</v>
      </c>
    </row>
    <row r="59" spans="2:35" x14ac:dyDescent="0.2">
      <c r="B59" t="s">
        <v>41</v>
      </c>
      <c r="C59" s="401">
        <f>'table 1 &amp; 2'!B62/'table 1 &amp; 2'!$B$84*100</f>
        <v>5.6420204369697129E-2</v>
      </c>
      <c r="D59" s="170">
        <f t="shared" si="6"/>
        <v>33</v>
      </c>
      <c r="E59" s="404">
        <f>'table 1 &amp; 2'!C62/'table 1 &amp; 2'!$C$84*100</f>
        <v>8.2061138274879906E-3</v>
      </c>
      <c r="F59" s="170">
        <f t="shared" si="7"/>
        <v>33</v>
      </c>
      <c r="G59" s="401">
        <f>'table 1 &amp; 2'!D62/'table 1 &amp; 2'!$D$84*100</f>
        <v>0.16354804221784827</v>
      </c>
      <c r="H59" s="170"/>
      <c r="I59" s="401">
        <f>'table 1 &amp; 2'!E62/'table 1 &amp; 2'!$E$84*100</f>
        <v>6.0595496035149771E-2</v>
      </c>
      <c r="J59" s="170">
        <f t="shared" si="8"/>
        <v>33</v>
      </c>
      <c r="K59" s="404">
        <f>'table 1 &amp; 2'!F62/'table 1 &amp; 2'!$F$84*100</f>
        <v>4.4640760622279431E-2</v>
      </c>
      <c r="L59" s="401">
        <f>'table 1 &amp; 2'!G62/'table 1 &amp; 2'!$G$84*100</f>
        <v>4.1604172040956705E-2</v>
      </c>
      <c r="M59" s="401">
        <f>'table 1 &amp; 2'!H62/'table 1 &amp; 2'!$H$84*100</f>
        <v>4.4074276952894037E-2</v>
      </c>
      <c r="N59" s="170">
        <f t="shared" si="9"/>
        <v>8</v>
      </c>
    </row>
    <row r="60" spans="2:35" x14ac:dyDescent="0.2">
      <c r="B60" s="52" t="s">
        <v>42</v>
      </c>
      <c r="C60" s="400">
        <f>'table 1 &amp; 2'!B63/'table 1 &amp; 2'!$B$84*100</f>
        <v>0.13336287725463425</v>
      </c>
      <c r="D60" s="368">
        <f t="shared" si="6"/>
        <v>29</v>
      </c>
      <c r="E60" s="403">
        <f>'table 1 &amp; 2'!C63/'table 1 &amp; 2'!$C$84*100</f>
        <v>4.0331577407857179E-2</v>
      </c>
      <c r="F60" s="368">
        <f t="shared" si="7"/>
        <v>31</v>
      </c>
      <c r="G60" s="400">
        <f>'table 1 &amp; 2'!D63/'table 1 &amp; 2'!$D$84*100</f>
        <v>0.44991704399287996</v>
      </c>
      <c r="H60" s="368"/>
      <c r="I60" s="400">
        <f>'table 1 &amp; 2'!E63/'table 1 &amp; 2'!$E$84*100</f>
        <v>0.1784651114638037</v>
      </c>
      <c r="J60" s="368">
        <f t="shared" si="8"/>
        <v>29</v>
      </c>
      <c r="K60" s="403">
        <f>'table 1 &amp; 2'!F63/'table 1 &amp; 2'!$F$84*100</f>
        <v>0</v>
      </c>
      <c r="L60" s="400">
        <f>'table 1 &amp; 2'!G63/'table 1 &amp; 2'!$G$84*100</f>
        <v>0</v>
      </c>
      <c r="M60" s="400">
        <f>'table 1 &amp; 2'!H63/'table 1 &amp; 2'!$H$84*100</f>
        <v>0</v>
      </c>
      <c r="N60" s="368" t="str">
        <f t="shared" si="9"/>
        <v>N/A</v>
      </c>
    </row>
    <row r="61" spans="2:35" x14ac:dyDescent="0.2">
      <c r="B61" t="s">
        <v>43</v>
      </c>
      <c r="C61" s="401">
        <f>'table 1 &amp; 2'!B64/'table 1 &amp; 2'!$B$84*100</f>
        <v>17.325073779355897</v>
      </c>
      <c r="D61" s="170">
        <f t="shared" si="6"/>
        <v>2</v>
      </c>
      <c r="E61" s="404">
        <f>'table 1 &amp; 2'!C64/'table 1 &amp; 2'!$C$84*100</f>
        <v>1.5882589768084161</v>
      </c>
      <c r="F61" s="170">
        <f t="shared" si="7"/>
        <v>9</v>
      </c>
      <c r="G61" s="401">
        <f>'table 1 &amp; 2'!D64/'table 1 &amp; 2'!$D$84*100</f>
        <v>8.504431757232938</v>
      </c>
      <c r="H61" s="170"/>
      <c r="I61" s="401">
        <f>'table 1 &amp; 2'!E64/'table 1 &amp; 2'!$E$84*100</f>
        <v>3.9207523542394886</v>
      </c>
      <c r="J61" s="170">
        <f t="shared" si="8"/>
        <v>6</v>
      </c>
      <c r="K61" s="404">
        <f>'table 1 &amp; 2'!F64/'table 1 &amp; 2'!$F$84*100</f>
        <v>56.806995145954573</v>
      </c>
      <c r="L61" s="401">
        <f>'table 1 &amp; 2'!G64/'table 1 &amp; 2'!$G$84*100</f>
        <v>57.628965238503092</v>
      </c>
      <c r="M61" s="401">
        <f>'table 1 &amp; 2'!H64/'table 1 &amp; 2'!$H$84*100</f>
        <v>56.960335851052356</v>
      </c>
      <c r="N61" s="170">
        <f t="shared" si="9"/>
        <v>1</v>
      </c>
    </row>
    <row r="62" spans="2:35" x14ac:dyDescent="0.2">
      <c r="B62" s="52" t="s">
        <v>44</v>
      </c>
      <c r="C62" s="400">
        <f>'table 1 &amp; 2'!B65/'table 1 &amp; 2'!$B$84*100</f>
        <v>1.2776934445211889</v>
      </c>
      <c r="D62" s="368">
        <f t="shared" si="6"/>
        <v>10</v>
      </c>
      <c r="E62" s="403">
        <f>'table 1 &amp; 2'!C65/'table 1 &amp; 2'!$C$84*100</f>
        <v>1.6893815283493017</v>
      </c>
      <c r="F62" s="368">
        <f t="shared" si="7"/>
        <v>7</v>
      </c>
      <c r="G62" s="400">
        <f>'table 1 &amp; 2'!D65/'table 1 &amp; 2'!$D$84*100</f>
        <v>1.7499219712752576</v>
      </c>
      <c r="H62" s="368"/>
      <c r="I62" s="400">
        <f>'table 1 &amp; 2'!E65/'table 1 &amp; 2'!$E$84*100</f>
        <v>1.7097989162131819</v>
      </c>
      <c r="J62" s="368">
        <f t="shared" si="8"/>
        <v>9</v>
      </c>
      <c r="K62" s="403">
        <f>'table 1 &amp; 2'!F65/'table 1 &amp; 2'!$F$84*100</f>
        <v>0</v>
      </c>
      <c r="L62" s="400">
        <f>'table 1 &amp; 2'!G65/'table 1 &amp; 2'!$G$84*100</f>
        <v>0</v>
      </c>
      <c r="M62" s="400">
        <f>'table 1 &amp; 2'!H65/'table 1 &amp; 2'!$H$84*100</f>
        <v>0</v>
      </c>
      <c r="N62" s="368" t="str">
        <f t="shared" si="9"/>
        <v>N/A</v>
      </c>
    </row>
    <row r="63" spans="2:35" x14ac:dyDescent="0.2">
      <c r="B63" t="s">
        <v>45</v>
      </c>
      <c r="C63" s="401">
        <f>'table 1 &amp; 2'!B66/'table 1 &amp; 2'!$B$84*100</f>
        <v>0.85886164149610056</v>
      </c>
      <c r="D63" s="170">
        <f t="shared" si="6"/>
        <v>15</v>
      </c>
      <c r="E63" s="404">
        <f>'table 1 &amp; 2'!C66/'table 1 &amp; 2'!$C$84*100</f>
        <v>1.4955028084282682</v>
      </c>
      <c r="F63" s="170">
        <f t="shared" si="7"/>
        <v>11</v>
      </c>
      <c r="G63" s="401">
        <f>'table 1 &amp; 2'!D66/'table 1 &amp; 2'!$D$84*100</f>
        <v>0.46902662956085611</v>
      </c>
      <c r="H63" s="170"/>
      <c r="I63" s="401">
        <f>'table 1 &amp; 2'!E66/'table 1 &amp; 2'!$E$84*100</f>
        <v>1.1493216233549786</v>
      </c>
      <c r="J63" s="170">
        <f t="shared" si="8"/>
        <v>15</v>
      </c>
      <c r="K63" s="404">
        <f>'table 1 &amp; 2'!F66/'table 1 &amp; 2'!$F$84*100</f>
        <v>0</v>
      </c>
      <c r="L63" s="401">
        <f>'table 1 &amp; 2'!G66/'table 1 &amp; 2'!$G$84*100</f>
        <v>0</v>
      </c>
      <c r="M63" s="401">
        <f>'table 1 &amp; 2'!H66/'table 1 &amp; 2'!$H$84*100</f>
        <v>0</v>
      </c>
      <c r="N63" s="170" t="str">
        <f t="shared" si="9"/>
        <v>N/A</v>
      </c>
    </row>
    <row r="64" spans="2:35" x14ac:dyDescent="0.2">
      <c r="B64" s="52" t="s">
        <v>46</v>
      </c>
      <c r="C64" s="400">
        <f>'table 1 &amp; 2'!B67/'table 1 &amp; 2'!$B$84*100</f>
        <v>0.54556133667225082</v>
      </c>
      <c r="D64" s="368">
        <f t="shared" si="6"/>
        <v>20</v>
      </c>
      <c r="E64" s="403">
        <f>'table 1 &amp; 2'!C67/'table 1 &amp; 2'!$C$84*100</f>
        <v>0.47350311366819492</v>
      </c>
      <c r="F64" s="368">
        <f t="shared" si="7"/>
        <v>20</v>
      </c>
      <c r="G64" s="400">
        <f>'table 1 &amp; 2'!D67/'table 1 &amp; 2'!$D$84*100</f>
        <v>1.2342475251507654</v>
      </c>
      <c r="H64" s="368"/>
      <c r="I64" s="400">
        <f>'table 1 &amp; 2'!E67/'table 1 &amp; 2'!$E$84*100</f>
        <v>0.73006571816574739</v>
      </c>
      <c r="J64" s="368">
        <f t="shared" si="8"/>
        <v>20</v>
      </c>
      <c r="K64" s="403">
        <f>'table 1 &amp; 2'!F67/'table 1 &amp; 2'!$F$84*100</f>
        <v>0</v>
      </c>
      <c r="L64" s="400">
        <f>'table 1 &amp; 2'!G67/'table 1 &amp; 2'!$G$84*100</f>
        <v>0</v>
      </c>
      <c r="M64" s="400">
        <f>'table 1 &amp; 2'!H67/'table 1 &amp; 2'!$H$84*100</f>
        <v>0</v>
      </c>
      <c r="N64" s="368" t="str">
        <f t="shared" si="9"/>
        <v>N/A</v>
      </c>
    </row>
    <row r="65" spans="2:14" x14ac:dyDescent="0.2">
      <c r="B65" t="s">
        <v>47</v>
      </c>
      <c r="C65" s="401">
        <f>'table 1 &amp; 2'!B68/'table 1 &amp; 2'!$B$84*100</f>
        <v>0.77311502796704623</v>
      </c>
      <c r="D65" s="170">
        <f t="shared" si="6"/>
        <v>16</v>
      </c>
      <c r="E65" s="404">
        <f>'table 1 &amp; 2'!C68/'table 1 &amp; 2'!$C$84*100</f>
        <v>0.63140999811227172</v>
      </c>
      <c r="F65" s="170">
        <f t="shared" si="7"/>
        <v>19</v>
      </c>
      <c r="G65" s="401">
        <f>'table 1 &amp; 2'!D68/'table 1 &amp; 2'!$D$84*100</f>
        <v>1.8267270292527744</v>
      </c>
      <c r="H65" s="170"/>
      <c r="I65" s="401">
        <f>'table 1 &amp; 2'!E68/'table 1 &amp; 2'!$E$84*100</f>
        <v>1.0345331050070443</v>
      </c>
      <c r="J65" s="170">
        <f t="shared" si="8"/>
        <v>16</v>
      </c>
      <c r="K65" s="404">
        <f>'table 1 &amp; 2'!F68/'table 1 &amp; 2'!$F$84*100</f>
        <v>1.2690721150178467E-4</v>
      </c>
      <c r="L65" s="401">
        <f>'table 1 &amp; 2'!G68/'table 1 &amp; 2'!$G$84*100</f>
        <v>1.2980036141033486E-4</v>
      </c>
      <c r="M65" s="401">
        <f>'table 1 &amp; 2'!H68/'table 1 &amp; 2'!$H$84*100</f>
        <v>1.2744693630558523E-4</v>
      </c>
      <c r="N65" s="170">
        <f t="shared" si="9"/>
        <v>13</v>
      </c>
    </row>
    <row r="66" spans="2:14" x14ac:dyDescent="0.2">
      <c r="B66" s="52" t="s">
        <v>48</v>
      </c>
      <c r="C66" s="400">
        <f>'table 1 &amp; 2'!B69/'table 1 &amp; 2'!$B$84*100</f>
        <v>0.13035888824527753</v>
      </c>
      <c r="D66" s="368">
        <f t="shared" si="6"/>
        <v>30</v>
      </c>
      <c r="E66" s="403">
        <f>'table 1 &amp; 2'!C69/'table 1 &amp; 2'!$C$84*100</f>
        <v>0.13282404528413944</v>
      </c>
      <c r="F66" s="368">
        <f t="shared" si="7"/>
        <v>27</v>
      </c>
      <c r="G66" s="400">
        <f>'table 1 &amp; 2'!D69/'table 1 &amp; 2'!$D$84*100</f>
        <v>0.25623664996607276</v>
      </c>
      <c r="H66" s="368"/>
      <c r="I66" s="400">
        <f>'table 1 &amp; 2'!E69/'table 1 &amp; 2'!$E$84*100</f>
        <v>0.17444519794343716</v>
      </c>
      <c r="J66" s="368">
        <f t="shared" si="8"/>
        <v>30</v>
      </c>
      <c r="K66" s="403">
        <f>'table 1 &amp; 2'!F69/'table 1 &amp; 2'!$F$84*100</f>
        <v>0</v>
      </c>
      <c r="L66" s="400">
        <f>'table 1 &amp; 2'!G69/'table 1 &amp; 2'!$G$84*100</f>
        <v>0</v>
      </c>
      <c r="M66" s="400">
        <f>'table 1 &amp; 2'!H69/'table 1 &amp; 2'!$H$84*100</f>
        <v>0</v>
      </c>
      <c r="N66" s="368" t="str">
        <f t="shared" si="9"/>
        <v>N/A</v>
      </c>
    </row>
    <row r="67" spans="2:14" x14ac:dyDescent="0.2">
      <c r="B67" t="s">
        <v>49</v>
      </c>
      <c r="C67" s="401">
        <f>'table 1 &amp; 2'!B70/'table 1 &amp; 2'!$B$84*100</f>
        <v>1.2404072183747841</v>
      </c>
      <c r="D67" s="170">
        <f t="shared" si="6"/>
        <v>11</v>
      </c>
      <c r="E67" s="404">
        <f>'table 1 &amp; 2'!C70/'table 1 &amp; 2'!$C$84*100</f>
        <v>1.5871225890460867</v>
      </c>
      <c r="F67" s="170">
        <f t="shared" si="7"/>
        <v>10</v>
      </c>
      <c r="G67" s="401">
        <f>'table 1 &amp; 2'!D70/'table 1 &amp; 2'!$D$84*100</f>
        <v>1.8029261891839097</v>
      </c>
      <c r="H67" s="170"/>
      <c r="I67" s="401">
        <f>'table 1 &amp; 2'!E70/'table 1 &amp; 2'!$E$84*100</f>
        <v>1.6599027933770085</v>
      </c>
      <c r="J67" s="170">
        <f t="shared" si="8"/>
        <v>11</v>
      </c>
      <c r="K67" s="404">
        <f>'table 1 &amp; 2'!F70/'table 1 &amp; 2'!$F$84*100</f>
        <v>0</v>
      </c>
      <c r="L67" s="401">
        <f>'table 1 &amp; 2'!G70/'table 1 &amp; 2'!$G$84*100</f>
        <v>0</v>
      </c>
      <c r="M67" s="401">
        <f>'table 1 &amp; 2'!H70/'table 1 &amp; 2'!$H$84*100</f>
        <v>0</v>
      </c>
      <c r="N67" s="170" t="str">
        <f t="shared" si="9"/>
        <v>N/A</v>
      </c>
    </row>
    <row r="68" spans="2:14" x14ac:dyDescent="0.2">
      <c r="B68" s="52" t="s">
        <v>50</v>
      </c>
      <c r="C68" s="400">
        <f>'table 1 &amp; 2'!B71/'table 1 &amp; 2'!$B$84*100</f>
        <v>0.2323161397046786</v>
      </c>
      <c r="D68" s="368">
        <f t="shared" si="6"/>
        <v>26</v>
      </c>
      <c r="E68" s="403">
        <f>'table 1 &amp; 2'!C71/'table 1 &amp; 2'!$C$84*100</f>
        <v>0.17304060284547235</v>
      </c>
      <c r="F68" s="368">
        <f t="shared" si="7"/>
        <v>26</v>
      </c>
      <c r="G68" s="400">
        <f>'table 1 &amp; 2'!D71/'table 1 &amp; 2'!$D$84*100</f>
        <v>0.57934689167957276</v>
      </c>
      <c r="H68" s="368"/>
      <c r="I68" s="400">
        <f>'table 1 &amp; 2'!E71/'table 1 &amp; 2'!$E$84*100</f>
        <v>0.31006822751623198</v>
      </c>
      <c r="J68" s="368">
        <f t="shared" si="8"/>
        <v>26</v>
      </c>
      <c r="K68" s="403">
        <f>'table 1 &amp; 2'!F71/'table 1 &amp; 2'!$F$84*100</f>
        <v>2.3996215718374622E-3</v>
      </c>
      <c r="L68" s="400">
        <f>'table 1 &amp; 2'!G71/'table 1 &amp; 2'!$G$84*100</f>
        <v>2.4598200259742953E-3</v>
      </c>
      <c r="M68" s="400">
        <f>'table 1 &amp; 2'!H71/'table 1 &amp; 2'!$H$84*100</f>
        <v>2.4108517534302235E-3</v>
      </c>
      <c r="N68" s="368">
        <f t="shared" si="9"/>
        <v>12</v>
      </c>
    </row>
    <row r="69" spans="2:14" x14ac:dyDescent="0.2">
      <c r="B69" t="s">
        <v>51</v>
      </c>
      <c r="C69" s="401">
        <f>'table 1 &amp; 2'!B72/'table 1 &amp; 2'!$B$84*100</f>
        <v>1.2144590065464502</v>
      </c>
      <c r="D69" s="170">
        <f t="shared" si="6"/>
        <v>13</v>
      </c>
      <c r="E69" s="404">
        <f>'table 1 &amp; 2'!C72/'table 1 &amp; 2'!$C$84*100</f>
        <v>1.1222847933060567</v>
      </c>
      <c r="F69" s="170">
        <f t="shared" si="7"/>
        <v>15</v>
      </c>
      <c r="G69" s="401">
        <f>'table 1 &amp; 2'!D72/'table 1 &amp; 2'!$D$84*100</f>
        <v>1.6608312726775143</v>
      </c>
      <c r="H69" s="170"/>
      <c r="I69" s="401">
        <f>'table 1 &amp; 2'!E72/'table 1 &amp; 2'!$E$84*100</f>
        <v>1.3039106919718852</v>
      </c>
      <c r="J69" s="170">
        <f t="shared" si="8"/>
        <v>13</v>
      </c>
      <c r="K69" s="404">
        <f>'table 1 &amp; 2'!F72/'table 1 &amp; 2'!$F$84*100</f>
        <v>0.94299005691127635</v>
      </c>
      <c r="L69" s="401">
        <f>'table 1 &amp; 2'!G72/'table 1 &amp; 2'!$G$84*100</f>
        <v>0.98034734039379834</v>
      </c>
      <c r="M69" s="401">
        <f>'table 1 &amp; 2'!H72/'table 1 &amp; 2'!$H$84*100</f>
        <v>0.94995915741952852</v>
      </c>
      <c r="N69" s="170">
        <f t="shared" si="9"/>
        <v>4</v>
      </c>
    </row>
    <row r="70" spans="2:14" x14ac:dyDescent="0.2">
      <c r="B70" s="52" t="s">
        <v>52</v>
      </c>
      <c r="C70" s="400">
        <f>'table 1 &amp; 2'!B73/'table 1 &amp; 2'!$B$84*100</f>
        <v>0.50062120459696624</v>
      </c>
      <c r="D70" s="368">
        <f t="shared" si="6"/>
        <v>21</v>
      </c>
      <c r="E70" s="403">
        <f>'table 1 &amp; 2'!C73/'table 1 &amp; 2'!$C$84*100</f>
        <v>0.34834520839536448</v>
      </c>
      <c r="F70" s="368">
        <f t="shared" si="7"/>
        <v>25</v>
      </c>
      <c r="G70" s="400">
        <f>'table 1 &amp; 2'!D73/'table 1 &amp; 2'!$D$84*100</f>
        <v>1.2609187638117632</v>
      </c>
      <c r="H70" s="368"/>
      <c r="I70" s="400">
        <f>'table 1 &amp; 2'!E73/'table 1 &amp; 2'!$E$84*100</f>
        <v>0.6561125013774266</v>
      </c>
      <c r="J70" s="368">
        <f t="shared" si="8"/>
        <v>21</v>
      </c>
      <c r="K70" s="403">
        <f>'table 1 &amp; 2'!F73/'table 1 &amp; 2'!$F$84*100</f>
        <v>4.1249495502599903E-2</v>
      </c>
      <c r="L70" s="400">
        <f>'table 1 &amp; 2'!G73/'table 1 &amp; 2'!$G$84*100</f>
        <v>3.910111905645168E-2</v>
      </c>
      <c r="M70" s="400">
        <f>'table 1 &amp; 2'!H73/'table 1 &amp; 2'!$H$84*100</f>
        <v>4.0848710167398161E-2</v>
      </c>
      <c r="N70" s="368">
        <f t="shared" si="9"/>
        <v>9</v>
      </c>
    </row>
    <row r="71" spans="2:14" x14ac:dyDescent="0.2">
      <c r="B71" t="s">
        <v>53</v>
      </c>
      <c r="C71" s="401">
        <f>'table 1 &amp; 2'!B74/'table 1 &amp; 2'!$B$84*100</f>
        <v>3.2570487954095064</v>
      </c>
      <c r="D71" s="170">
        <f t="shared" si="6"/>
        <v>7</v>
      </c>
      <c r="E71" s="404">
        <f>'table 1 &amp; 2'!C74/'table 1 &amp; 2'!$C$84*100</f>
        <v>2.9183142711715453</v>
      </c>
      <c r="F71" s="170">
        <f t="shared" si="7"/>
        <v>6</v>
      </c>
      <c r="G71" s="401">
        <f>'table 1 &amp; 2'!D74/'table 1 &amp; 2'!$D$84*100</f>
        <v>5.2042629633986088</v>
      </c>
      <c r="H71" s="170"/>
      <c r="I71" s="401">
        <f>'table 1 &amp; 2'!E74/'table 1 &amp; 2'!$E$84*100</f>
        <v>3.6892551303788776</v>
      </c>
      <c r="J71" s="170">
        <f t="shared" si="8"/>
        <v>7</v>
      </c>
      <c r="K71" s="404">
        <f>'table 1 &amp; 2'!F74/'table 1 &amp; 2'!$F$84*100</f>
        <v>1.9842900226314242</v>
      </c>
      <c r="L71" s="401">
        <f>'table 1 &amp; 2'!G74/'table 1 &amp; 2'!$G$84*100</f>
        <v>1.9562394195423265</v>
      </c>
      <c r="M71" s="401">
        <f>'table 1 &amp; 2'!H74/'table 1 &amp; 2'!$H$84*100</f>
        <v>1.9790571080824719</v>
      </c>
      <c r="N71" s="170">
        <f t="shared" si="9"/>
        <v>3</v>
      </c>
    </row>
    <row r="72" spans="2:14" x14ac:dyDescent="0.2">
      <c r="B72" s="52" t="s">
        <v>54</v>
      </c>
      <c r="C72" s="400">
        <f>'table 1 &amp; 2'!B75/'table 1 &amp; 2'!$B$84*100</f>
        <v>0.59438844022931303</v>
      </c>
      <c r="D72" s="368">
        <f t="shared" si="6"/>
        <v>19</v>
      </c>
      <c r="E72" s="403">
        <f>'table 1 &amp; 2'!C75/'table 1 &amp; 2'!$C$84*100</f>
        <v>0.724957675697665</v>
      </c>
      <c r="F72" s="368">
        <f t="shared" si="7"/>
        <v>17</v>
      </c>
      <c r="G72" s="400">
        <f>'table 1 &amp; 2'!D75/'table 1 &amp; 2'!$D$84*100</f>
        <v>0.93384617673255665</v>
      </c>
      <c r="H72" s="368"/>
      <c r="I72" s="400">
        <f>'table 1 &amp; 2'!E75/'table 1 &amp; 2'!$E$84*100</f>
        <v>0.79540574875108017</v>
      </c>
      <c r="J72" s="368">
        <f t="shared" si="8"/>
        <v>18</v>
      </c>
      <c r="K72" s="403">
        <f>'table 1 &amp; 2'!F75/'table 1 &amp; 2'!$F$84*100</f>
        <v>0</v>
      </c>
      <c r="L72" s="400">
        <f>'table 1 &amp; 2'!G75/'table 1 &amp; 2'!$G$84*100</f>
        <v>0</v>
      </c>
      <c r="M72" s="400">
        <f>'table 1 &amp; 2'!H75/'table 1 &amp; 2'!$H$84*100</f>
        <v>0</v>
      </c>
      <c r="N72" s="368" t="str">
        <f t="shared" si="9"/>
        <v>N/A</v>
      </c>
    </row>
    <row r="73" spans="2:14" x14ac:dyDescent="0.2">
      <c r="B73" t="s">
        <v>55</v>
      </c>
      <c r="C73" s="401">
        <f>'table 1 &amp; 2'!B76/'table 1 &amp; 2'!$B$84*100</f>
        <v>6.3571642096907617</v>
      </c>
      <c r="D73" s="170">
        <f t="shared" si="6"/>
        <v>5</v>
      </c>
      <c r="E73" s="404">
        <f>'table 1 &amp; 2'!C76/'table 1 &amp; 2'!$C$84*100</f>
        <v>9.5563737255024144</v>
      </c>
      <c r="F73" s="170">
        <f t="shared" si="7"/>
        <v>3</v>
      </c>
      <c r="G73" s="401">
        <f>'table 1 &amp; 2'!D76/'table 1 &amp; 2'!$D$84*100</f>
        <v>6.0686505721112756</v>
      </c>
      <c r="H73" s="170"/>
      <c r="I73" s="401">
        <f>'table 1 &amp; 2'!E76/'table 1 &amp; 2'!$E$84*100</f>
        <v>8.3801319779533472</v>
      </c>
      <c r="J73" s="170">
        <f t="shared" si="8"/>
        <v>3</v>
      </c>
      <c r="K73" s="404">
        <f>'table 1 &amp; 2'!F76/'table 1 &amp; 2'!$F$84*100</f>
        <v>0.37415183172285876</v>
      </c>
      <c r="L73" s="401">
        <f>'table 1 &amp; 2'!G76/'table 1 &amp; 2'!$G$84*100</f>
        <v>0.38109547134239108</v>
      </c>
      <c r="M73" s="401">
        <f>'table 1 &amp; 2'!H76/'table 1 &amp; 2'!$H$84*100</f>
        <v>0.37544718614615996</v>
      </c>
      <c r="N73" s="170">
        <f t="shared" si="9"/>
        <v>6</v>
      </c>
    </row>
    <row r="74" spans="2:14" x14ac:dyDescent="0.2">
      <c r="B74" s="52" t="s">
        <v>56</v>
      </c>
      <c r="C74" s="400">
        <f>'table 1 &amp; 2'!B77/'table 1 &amp; 2'!$B$84*100</f>
        <v>6.9639271633213529</v>
      </c>
      <c r="D74" s="368">
        <f t="shared" si="6"/>
        <v>4</v>
      </c>
      <c r="E74" s="403">
        <f>'table 1 &amp; 2'!C77/'table 1 &amp; 2'!$C$84*100</f>
        <v>10.503942111501408</v>
      </c>
      <c r="F74" s="368">
        <f t="shared" si="7"/>
        <v>2</v>
      </c>
      <c r="G74" s="400">
        <f>'table 1 &amp; 2'!D77/'table 1 &amp; 2'!$D$84*100</f>
        <v>6.9906297952975027</v>
      </c>
      <c r="H74" s="368"/>
      <c r="I74" s="400">
        <f>'table 1 &amp; 2'!E77/'table 1 &amp; 2'!$E$84*100</f>
        <v>9.3190703665983516</v>
      </c>
      <c r="J74" s="368">
        <f t="shared" si="8"/>
        <v>2</v>
      </c>
      <c r="K74" s="403">
        <f>'table 1 &amp; 2'!F77/'table 1 &amp; 2'!$F$84*100</f>
        <v>0</v>
      </c>
      <c r="L74" s="400">
        <f>'table 1 &amp; 2'!G77/'table 1 &amp; 2'!$G$84*100</f>
        <v>0</v>
      </c>
      <c r="M74" s="400">
        <f>'table 1 &amp; 2'!H77/'table 1 &amp; 2'!$H$84*100</f>
        <v>0</v>
      </c>
      <c r="N74" s="368" t="str">
        <f t="shared" si="9"/>
        <v>N/A</v>
      </c>
    </row>
    <row r="75" spans="2:14" x14ac:dyDescent="0.2">
      <c r="B75" t="s">
        <v>57</v>
      </c>
      <c r="C75" s="401">
        <f>'table 1 &amp; 2'!B78/'table 1 &amp; 2'!$B$84*100</f>
        <v>0.330749511313575</v>
      </c>
      <c r="D75" s="170">
        <f t="shared" si="6"/>
        <v>25</v>
      </c>
      <c r="E75" s="404">
        <f>'table 1 &amp; 2'!C78/'table 1 &amp; 2'!$C$84*100</f>
        <v>0.42156496305106039</v>
      </c>
      <c r="F75" s="170">
        <f t="shared" si="7"/>
        <v>21</v>
      </c>
      <c r="G75" s="401">
        <f>'table 1 &amp; 2'!D78/'table 1 &amp; 2'!$D$84*100</f>
        <v>0.48395547534568928</v>
      </c>
      <c r="H75" s="170"/>
      <c r="I75" s="401">
        <f>'table 1 &amp; 2'!E78/'table 1 &amp; 2'!$E$84*100</f>
        <v>0.44260629058319606</v>
      </c>
      <c r="J75" s="170">
        <f t="shared" si="8"/>
        <v>25</v>
      </c>
      <c r="K75" s="404">
        <f>'table 1 &amp; 2'!F78/'table 1 &amp; 2'!$F$84*100</f>
        <v>0</v>
      </c>
      <c r="L75" s="401">
        <f>'table 1 &amp; 2'!G78/'table 1 &amp; 2'!$G$84*100</f>
        <v>0</v>
      </c>
      <c r="M75" s="401">
        <f>'table 1 &amp; 2'!H78/'table 1 &amp; 2'!$H$84*100</f>
        <v>0</v>
      </c>
      <c r="N75" s="170" t="str">
        <f t="shared" si="9"/>
        <v>N/A</v>
      </c>
    </row>
    <row r="76" spans="2:14" x14ac:dyDescent="0.2">
      <c r="B76" s="52" t="s">
        <v>58</v>
      </c>
      <c r="C76" s="400">
        <f>'table 1 &amp; 2'!B79/'table 1 &amp; 2'!$B$84*100</f>
        <v>0.38841578883003358</v>
      </c>
      <c r="D76" s="368">
        <f t="shared" si="6"/>
        <v>24</v>
      </c>
      <c r="E76" s="403">
        <f>'table 1 &amp; 2'!C79/'table 1 &amp; 2'!$C$84*100</f>
        <v>0.39374336225293149</v>
      </c>
      <c r="F76" s="368">
        <f t="shared" si="7"/>
        <v>22</v>
      </c>
      <c r="G76" s="400">
        <f>'table 1 &amp; 2'!D79/'table 1 &amp; 2'!$D$84*100</f>
        <v>0.76744449479665455</v>
      </c>
      <c r="H76" s="368"/>
      <c r="I76" s="400">
        <f>'table 1 &amp; 2'!E79/'table 1 &amp; 2'!$E$84*100</f>
        <v>0.51977483145853776</v>
      </c>
      <c r="J76" s="368">
        <f t="shared" si="8"/>
        <v>24</v>
      </c>
      <c r="K76" s="403">
        <f>'table 1 &amp; 2'!F79/'table 1 &amp; 2'!$F$84*100</f>
        <v>0</v>
      </c>
      <c r="L76" s="400">
        <f>'table 1 &amp; 2'!G79/'table 1 &amp; 2'!$G$84*100</f>
        <v>0</v>
      </c>
      <c r="M76" s="400">
        <f>'table 1 &amp; 2'!H79/'table 1 &amp; 2'!$H$84*100</f>
        <v>0</v>
      </c>
      <c r="N76" s="368" t="str">
        <f t="shared" si="9"/>
        <v>N/A</v>
      </c>
    </row>
    <row r="77" spans="2:14" x14ac:dyDescent="0.2">
      <c r="B77" t="s">
        <v>59</v>
      </c>
      <c r="C77" s="401">
        <f>'table 1 &amp; 2'!B80/'table 1 &amp; 2'!$B$84*100</f>
        <v>1.232565129343139</v>
      </c>
      <c r="D77" s="170">
        <f t="shared" si="6"/>
        <v>12</v>
      </c>
      <c r="E77" s="404">
        <f>'table 1 &amp; 2'!C80/'table 1 &amp; 2'!$C$84*100</f>
        <v>1.3654972498230977</v>
      </c>
      <c r="F77" s="170">
        <f t="shared" si="7"/>
        <v>13</v>
      </c>
      <c r="G77" s="401">
        <f>'table 1 &amp; 2'!D80/'table 1 &amp; 2'!$D$84*100</f>
        <v>2.2073344834020658</v>
      </c>
      <c r="H77" s="170"/>
      <c r="I77" s="401">
        <f>'table 1 &amp; 2'!E80/'table 1 &amp; 2'!$E$84*100</f>
        <v>1.6494085739813862</v>
      </c>
      <c r="J77" s="170">
        <f t="shared" si="8"/>
        <v>12</v>
      </c>
      <c r="K77" s="404">
        <f>'table 1 &amp; 2'!F80/'table 1 &amp; 2'!$F$84*100</f>
        <v>0</v>
      </c>
      <c r="L77" s="401">
        <f>'table 1 &amp; 2'!G80/'table 1 &amp; 2'!$G$84*100</f>
        <v>0</v>
      </c>
      <c r="M77" s="401">
        <f>'table 1 &amp; 2'!H80/'table 1 &amp; 2'!$H$84*100</f>
        <v>0</v>
      </c>
      <c r="N77" s="170" t="str">
        <f t="shared" si="9"/>
        <v>N/A</v>
      </c>
    </row>
    <row r="78" spans="2:14" x14ac:dyDescent="0.2">
      <c r="B78" s="52" t="s">
        <v>60</v>
      </c>
      <c r="C78" s="400">
        <f>'table 1 &amp; 2'!B81/'table 1 &amp; 2'!$B$84*100</f>
        <v>0.43203361177908017</v>
      </c>
      <c r="D78" s="368">
        <f t="shared" si="6"/>
        <v>23</v>
      </c>
      <c r="E78" s="403">
        <f>'table 1 &amp; 2'!C81/'table 1 &amp; 2'!$C$84*100</f>
        <v>0.35850615724244161</v>
      </c>
      <c r="F78" s="368">
        <f t="shared" si="7"/>
        <v>24</v>
      </c>
      <c r="G78" s="400">
        <f>'table 1 &amp; 2'!D81/'table 1 &amp; 2'!$D$84*100</f>
        <v>1.0097629688193714</v>
      </c>
      <c r="H78" s="368"/>
      <c r="I78" s="400">
        <f>'table 1 &amp; 2'!E81/'table 1 &amp; 2'!$E$84*100</f>
        <v>0.5781438453449681</v>
      </c>
      <c r="J78" s="368">
        <f t="shared" si="8"/>
        <v>23</v>
      </c>
      <c r="K78" s="403">
        <f>'table 1 &amp; 2'!F81/'table 1 &amp; 2'!$F$84*100</f>
        <v>0</v>
      </c>
      <c r="L78" s="400">
        <f>'table 1 &amp; 2'!G81/'table 1 &amp; 2'!$G$84*100</f>
        <v>0</v>
      </c>
      <c r="M78" s="400">
        <f>'table 1 &amp; 2'!H81/'table 1 &amp; 2'!$H$84*100</f>
        <v>0</v>
      </c>
      <c r="N78" s="368" t="str">
        <f t="shared" si="9"/>
        <v>N/A</v>
      </c>
    </row>
    <row r="79" spans="2:14" x14ac:dyDescent="0.2">
      <c r="B79" t="s">
        <v>61</v>
      </c>
      <c r="C79" s="401">
        <f>'table 1 &amp; 2'!B82/'table 1 &amp; 2'!$B$84*100</f>
        <v>0.16568697625253859</v>
      </c>
      <c r="D79" s="170">
        <f t="shared" si="6"/>
        <v>28</v>
      </c>
      <c r="E79" s="404">
        <f>'table 1 &amp; 2'!C82/'table 1 &amp; 2'!$C$84*100</f>
        <v>7.6661355672549336E-2</v>
      </c>
      <c r="F79" s="170">
        <f t="shared" si="7"/>
        <v>29</v>
      </c>
      <c r="G79" s="401">
        <f>'table 1 &amp; 2'!D82/'table 1 &amp; 2'!$D$84*100</f>
        <v>0.48558236320290682</v>
      </c>
      <c r="H79" s="170"/>
      <c r="I79" s="401">
        <f>'table 1 &amp; 2'!E82/'table 1 &amp; 2'!$E$84*100</f>
        <v>0.21457079955698255</v>
      </c>
      <c r="J79" s="170">
        <f t="shared" si="8"/>
        <v>28</v>
      </c>
      <c r="K79" s="404">
        <f>'table 1 &amp; 2'!F82/'table 1 &amp; 2'!$F$84*100</f>
        <v>2.1287839870925016E-2</v>
      </c>
      <c r="L79" s="401">
        <f>'table 1 &amp; 2'!G82/'table 1 &amp; 2'!$G$84*100</f>
        <v>2.0507746702105877E-2</v>
      </c>
      <c r="M79" s="401">
        <f>'table 1 &amp; 2'!H82/'table 1 &amp; 2'!$H$84*100</f>
        <v>2.1142311417234182E-2</v>
      </c>
      <c r="N79" s="170">
        <f t="shared" si="9"/>
        <v>11</v>
      </c>
    </row>
    <row r="80" spans="2:14" x14ac:dyDescent="0.2">
      <c r="B80" s="52" t="s">
        <v>62</v>
      </c>
      <c r="C80" s="400">
        <f>'table 1 &amp; 2'!B83/'table 1 &amp; 2'!$B$84*100</f>
        <v>2.3147118150635939</v>
      </c>
      <c r="D80" s="368">
        <f t="shared" si="6"/>
        <v>8</v>
      </c>
      <c r="E80" s="403">
        <f>'table 1 &amp; 2'!C83/'table 1 &amp; 2'!$C$84*100</f>
        <v>3.0897912329701338</v>
      </c>
      <c r="F80" s="368">
        <f t="shared" si="7"/>
        <v>5</v>
      </c>
      <c r="G80" s="400">
        <f>'table 1 &amp; 2'!D83/'table 1 &amp; 2'!$D$84*100</f>
        <v>3.1127330782785991</v>
      </c>
      <c r="H80" s="368"/>
      <c r="I80" s="400">
        <f>'table 1 &amp; 2'!E83/'table 1 &amp; 2'!$E$84*100</f>
        <v>3.0975284170959418</v>
      </c>
      <c r="J80" s="368">
        <f t="shared" si="8"/>
        <v>8</v>
      </c>
      <c r="K80" s="403">
        <f>'table 1 &amp; 2'!F83/'table 1 &amp; 2'!$F$84*100</f>
        <v>0</v>
      </c>
      <c r="L80" s="400">
        <f>'table 1 &amp; 2'!G83/'table 1 &amp; 2'!$G$84*100</f>
        <v>0</v>
      </c>
      <c r="M80" s="400">
        <f>'table 1 &amp; 2'!H83/'table 1 &amp; 2'!$H$84*100</f>
        <v>0</v>
      </c>
      <c r="N80" s="368" t="str">
        <f t="shared" si="9"/>
        <v>N/A</v>
      </c>
    </row>
    <row r="81" spans="2:15" ht="13.5" thickBot="1" x14ac:dyDescent="0.25">
      <c r="B81" s="47" t="s">
        <v>330</v>
      </c>
      <c r="C81" s="402">
        <f>SUM(C48:C80)</f>
        <v>100.00000000000001</v>
      </c>
      <c r="D81" s="405"/>
      <c r="E81" s="402">
        <f>SUM(E48:E80)</f>
        <v>100.00000000000001</v>
      </c>
      <c r="F81" s="406"/>
      <c r="G81" s="402">
        <f>SUM(G48:G80)</f>
        <v>99.999999999999986</v>
      </c>
      <c r="H81" s="406"/>
      <c r="I81" s="402">
        <f>SUM(I48:I80)</f>
        <v>100.00000000000004</v>
      </c>
      <c r="J81" s="407"/>
      <c r="K81" s="402">
        <f t="shared" ref="K81:M81" si="10">SUM(K48:K80)</f>
        <v>99.999999999999986</v>
      </c>
      <c r="L81" s="402">
        <f t="shared" si="10"/>
        <v>99.999999999999986</v>
      </c>
      <c r="M81" s="402">
        <f t="shared" si="10"/>
        <v>99.999999999999986</v>
      </c>
      <c r="N81" s="405"/>
    </row>
    <row r="82" spans="2:15" x14ac:dyDescent="0.2">
      <c r="B82" t="s">
        <v>402</v>
      </c>
    </row>
    <row r="84" spans="2:15" ht="15" x14ac:dyDescent="0.2">
      <c r="G84" s="101"/>
    </row>
    <row r="85" spans="2:15" x14ac:dyDescent="0.2">
      <c r="B85" s="647">
        <f>'Tables 9 &amp; 10'!B79:J79+1</f>
        <v>14</v>
      </c>
      <c r="C85" s="647"/>
      <c r="D85" s="647"/>
      <c r="E85" s="647"/>
      <c r="F85" s="647"/>
      <c r="G85" s="647"/>
      <c r="H85" s="647"/>
      <c r="I85" s="647"/>
      <c r="J85" s="647"/>
      <c r="K85" s="647"/>
      <c r="L85" s="647"/>
      <c r="M85" s="647"/>
      <c r="N85" s="647"/>
    </row>
    <row r="86" spans="2:15" x14ac:dyDescent="0.2">
      <c r="N86" s="46"/>
      <c r="O86" s="46"/>
    </row>
    <row r="87" spans="2:15" x14ac:dyDescent="0.2">
      <c r="F87" s="325"/>
      <c r="G87" s="46"/>
      <c r="J87" s="170"/>
      <c r="K87" s="46"/>
      <c r="N87" s="46"/>
      <c r="O87" s="46"/>
    </row>
    <row r="88" spans="2:15" x14ac:dyDescent="0.2">
      <c r="F88" s="211"/>
      <c r="G88" s="46"/>
      <c r="J88" s="324"/>
      <c r="K88" s="46"/>
      <c r="N88" s="324"/>
      <c r="O88" s="46"/>
    </row>
    <row r="89" spans="2:15" x14ac:dyDescent="0.2">
      <c r="F89" s="211"/>
      <c r="G89" s="46"/>
      <c r="J89" s="324"/>
      <c r="K89" s="46"/>
      <c r="N89" s="324"/>
      <c r="O89" s="46"/>
    </row>
    <row r="90" spans="2:15" x14ac:dyDescent="0.2">
      <c r="F90" s="211"/>
      <c r="G90" s="46"/>
      <c r="J90" s="324"/>
      <c r="K90" s="46"/>
      <c r="N90" s="324"/>
      <c r="O90" s="46"/>
    </row>
    <row r="91" spans="2:15" x14ac:dyDescent="0.2">
      <c r="F91" s="211"/>
      <c r="G91" s="46"/>
      <c r="J91" s="324"/>
      <c r="K91" s="46"/>
      <c r="N91" s="324"/>
      <c r="O91" s="46"/>
    </row>
    <row r="92" spans="2:15" x14ac:dyDescent="0.2">
      <c r="F92" s="211"/>
      <c r="G92" s="46"/>
      <c r="J92" s="324"/>
      <c r="K92" s="46"/>
      <c r="N92" s="324"/>
      <c r="O92" s="46"/>
    </row>
    <row r="93" spans="2:15" x14ac:dyDescent="0.2">
      <c r="F93" s="211"/>
      <c r="G93" s="46"/>
      <c r="J93" s="324"/>
      <c r="K93" s="46"/>
      <c r="N93" s="324"/>
      <c r="O93" s="46"/>
    </row>
    <row r="94" spans="2:15" x14ac:dyDescent="0.2">
      <c r="F94" s="211"/>
      <c r="G94" s="46"/>
      <c r="J94" s="324"/>
      <c r="K94" s="46"/>
      <c r="N94" s="324"/>
      <c r="O94" s="46"/>
    </row>
    <row r="95" spans="2:15" x14ac:dyDescent="0.2">
      <c r="F95" s="211"/>
      <c r="G95" s="46"/>
      <c r="J95" s="324"/>
      <c r="K95" s="46"/>
      <c r="N95" s="324"/>
      <c r="O95" s="46"/>
    </row>
    <row r="96" spans="2:15" x14ac:dyDescent="0.2">
      <c r="F96" s="211"/>
      <c r="G96" s="46"/>
      <c r="J96" s="324"/>
      <c r="K96" s="46"/>
      <c r="N96" s="324"/>
      <c r="O96" s="46"/>
    </row>
    <row r="97" spans="6:15" x14ac:dyDescent="0.2">
      <c r="F97" s="211"/>
      <c r="G97" s="46"/>
      <c r="J97" s="324"/>
      <c r="K97" s="46"/>
      <c r="N97" s="324"/>
      <c r="O97" s="46"/>
    </row>
    <row r="98" spans="6:15" x14ac:dyDescent="0.2">
      <c r="F98" s="211"/>
      <c r="G98" s="46"/>
      <c r="J98" s="324"/>
      <c r="K98" s="46"/>
      <c r="N98" s="324"/>
      <c r="O98" s="46"/>
    </row>
    <row r="99" spans="6:15" x14ac:dyDescent="0.2">
      <c r="F99" s="211"/>
      <c r="G99" s="46"/>
      <c r="J99" s="324"/>
      <c r="K99" s="46"/>
      <c r="N99" s="324"/>
      <c r="O99" s="46"/>
    </row>
    <row r="100" spans="6:15" x14ac:dyDescent="0.2">
      <c r="F100" s="211"/>
      <c r="G100" s="46"/>
      <c r="J100" s="324"/>
      <c r="K100" s="46"/>
      <c r="N100" s="324"/>
      <c r="O100" s="46"/>
    </row>
    <row r="101" spans="6:15" x14ac:dyDescent="0.2">
      <c r="F101" s="211"/>
      <c r="G101" s="46"/>
      <c r="J101" s="324"/>
      <c r="K101" s="46"/>
      <c r="N101" s="324"/>
      <c r="O101" s="46"/>
    </row>
    <row r="102" spans="6:15" x14ac:dyDescent="0.2">
      <c r="F102" s="211"/>
      <c r="G102" s="46"/>
      <c r="J102" s="324"/>
      <c r="K102" s="46"/>
      <c r="N102" s="324"/>
      <c r="O102" s="46"/>
    </row>
    <row r="103" spans="6:15" x14ac:dyDescent="0.2">
      <c r="F103" s="211"/>
      <c r="G103" s="46"/>
      <c r="J103" s="324"/>
      <c r="K103" s="46"/>
      <c r="N103" s="324"/>
      <c r="O103" s="46"/>
    </row>
    <row r="104" spans="6:15" x14ac:dyDescent="0.2">
      <c r="F104" s="211"/>
      <c r="G104" s="46"/>
      <c r="J104" s="324"/>
      <c r="K104" s="46"/>
      <c r="N104" s="324"/>
      <c r="O104" s="46"/>
    </row>
    <row r="105" spans="6:15" x14ac:dyDescent="0.2">
      <c r="F105" s="211"/>
      <c r="G105" s="46"/>
      <c r="J105" s="324"/>
      <c r="K105" s="46"/>
      <c r="N105" s="324"/>
      <c r="O105" s="46"/>
    </row>
    <row r="106" spans="6:15" x14ac:dyDescent="0.2">
      <c r="F106" s="211"/>
      <c r="G106" s="46"/>
      <c r="J106" s="324"/>
      <c r="K106" s="46"/>
      <c r="N106" s="324"/>
      <c r="O106" s="46"/>
    </row>
    <row r="107" spans="6:15" x14ac:dyDescent="0.2">
      <c r="F107" s="211"/>
      <c r="G107" s="46"/>
      <c r="J107" s="324"/>
      <c r="K107" s="46"/>
      <c r="N107" s="324"/>
      <c r="O107" s="46"/>
    </row>
    <row r="108" spans="6:15" x14ac:dyDescent="0.2">
      <c r="F108" s="211"/>
      <c r="G108" s="46"/>
      <c r="J108" s="324"/>
      <c r="K108" s="46"/>
      <c r="N108" s="324"/>
      <c r="O108" s="46"/>
    </row>
    <row r="109" spans="6:15" x14ac:dyDescent="0.2">
      <c r="F109" s="211"/>
      <c r="G109" s="46"/>
      <c r="J109" s="324"/>
      <c r="K109" s="46"/>
      <c r="N109" s="324"/>
      <c r="O109" s="46"/>
    </row>
    <row r="110" spans="6:15" x14ac:dyDescent="0.2">
      <c r="F110" s="211"/>
      <c r="G110" s="46"/>
      <c r="J110" s="324"/>
      <c r="K110" s="46"/>
      <c r="N110" s="324"/>
      <c r="O110" s="46"/>
    </row>
    <row r="111" spans="6:15" x14ac:dyDescent="0.2">
      <c r="F111" s="211"/>
      <c r="G111" s="46"/>
      <c r="J111" s="324"/>
      <c r="K111" s="46"/>
      <c r="N111" s="324"/>
      <c r="O111" s="46"/>
    </row>
    <row r="112" spans="6:15" x14ac:dyDescent="0.2">
      <c r="F112" s="211"/>
      <c r="G112" s="46"/>
      <c r="J112" s="324"/>
      <c r="K112" s="46"/>
      <c r="N112" s="324"/>
      <c r="O112" s="46"/>
    </row>
    <row r="113" spans="6:15" x14ac:dyDescent="0.2">
      <c r="F113" s="211"/>
      <c r="G113" s="46"/>
      <c r="J113" s="324"/>
      <c r="K113" s="46"/>
      <c r="N113" s="324"/>
      <c r="O113" s="46"/>
    </row>
    <row r="114" spans="6:15" x14ac:dyDescent="0.2">
      <c r="F114" s="211"/>
      <c r="G114" s="46"/>
      <c r="J114" s="324"/>
      <c r="K114" s="46"/>
      <c r="N114" s="324"/>
      <c r="O114" s="46"/>
    </row>
    <row r="115" spans="6:15" x14ac:dyDescent="0.2">
      <c r="F115" s="211"/>
      <c r="G115" s="46"/>
      <c r="J115" s="324"/>
      <c r="K115" s="46"/>
      <c r="N115" s="324"/>
      <c r="O115" s="46"/>
    </row>
    <row r="116" spans="6:15" x14ac:dyDescent="0.2">
      <c r="F116" s="211"/>
      <c r="G116" s="46"/>
      <c r="J116" s="324"/>
      <c r="K116" s="46"/>
      <c r="N116" s="324"/>
      <c r="O116" s="46"/>
    </row>
    <row r="117" spans="6:15" x14ac:dyDescent="0.2">
      <c r="F117" s="211"/>
      <c r="G117" s="46"/>
      <c r="J117" s="324"/>
      <c r="K117" s="46"/>
      <c r="N117" s="324"/>
      <c r="O117" s="46"/>
    </row>
    <row r="118" spans="6:15" x14ac:dyDescent="0.2">
      <c r="F118" s="211"/>
      <c r="G118" s="46"/>
      <c r="J118" s="324"/>
      <c r="K118" s="46"/>
      <c r="N118" s="324"/>
      <c r="O118" s="46"/>
    </row>
    <row r="119" spans="6:15" x14ac:dyDescent="0.2">
      <c r="F119" s="211"/>
      <c r="G119" s="46"/>
      <c r="J119" s="324"/>
      <c r="K119" s="46"/>
      <c r="N119" s="324"/>
      <c r="O119" s="46"/>
    </row>
    <row r="120" spans="6:15" x14ac:dyDescent="0.2">
      <c r="F120" s="211"/>
      <c r="G120" s="46"/>
      <c r="J120" s="324"/>
      <c r="K120" s="46"/>
      <c r="N120" s="324"/>
      <c r="O120" s="46"/>
    </row>
    <row r="121" spans="6:15" x14ac:dyDescent="0.2">
      <c r="F121" s="211"/>
      <c r="G121" s="46"/>
      <c r="J121" s="324"/>
      <c r="K121" s="324"/>
      <c r="N121" s="324"/>
      <c r="O121" s="324"/>
    </row>
  </sheetData>
  <mergeCells count="1">
    <mergeCell ref="B85:N85"/>
  </mergeCells>
  <phoneticPr fontId="38" type="noConversion"/>
  <printOptions horizontalCentered="1" verticalCentered="1"/>
  <pageMargins left="0.75" right="0.75" top="0.28999999999999998" bottom="0.5" header="0.5" footer="0.3"/>
  <pageSetup scale="6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  <pageSetUpPr fitToPage="1"/>
  </sheetPr>
  <dimension ref="B1:V86"/>
  <sheetViews>
    <sheetView showGridLines="0" zoomScaleNormal="100" zoomScaleSheetLayoutView="110" workbookViewId="0">
      <selection activeCell="B44" sqref="B44"/>
    </sheetView>
  </sheetViews>
  <sheetFormatPr defaultRowHeight="12.75" x14ac:dyDescent="0.2"/>
  <cols>
    <col min="2" max="2" width="10.85546875" customWidth="1"/>
    <col min="3" max="3" width="5.5703125" customWidth="1"/>
    <col min="4" max="4" width="10.140625" customWidth="1"/>
    <col min="5" max="5" width="9.42578125" customWidth="1"/>
    <col min="6" max="6" width="7.85546875" customWidth="1"/>
    <col min="7" max="8" width="9.85546875" customWidth="1"/>
    <col min="9" max="9" width="7.85546875" customWidth="1"/>
    <col min="10" max="10" width="1.42578125" customWidth="1"/>
    <col min="13" max="13" width="10.28515625" customWidth="1"/>
  </cols>
  <sheetData>
    <row r="1" spans="2:22" ht="15.75" x14ac:dyDescent="0.25">
      <c r="B1" s="1" t="s">
        <v>438</v>
      </c>
    </row>
    <row r="2" spans="2:22" ht="15.75" x14ac:dyDescent="0.25">
      <c r="B2" s="1" t="s">
        <v>491</v>
      </c>
      <c r="E2" s="318"/>
      <c r="F2" s="3" t="str">
        <f>'table 1 &amp; 2'!C2</f>
        <v>2025 Tax Year</v>
      </c>
    </row>
    <row r="4" spans="2:22" x14ac:dyDescent="0.2">
      <c r="B4" s="7" t="s">
        <v>498</v>
      </c>
      <c r="H4" s="7" t="str">
        <f>F2</f>
        <v>2025 Tax Year</v>
      </c>
      <c r="L4" s="525" t="s">
        <v>550</v>
      </c>
      <c r="M4" s="424"/>
      <c r="N4" s="424"/>
      <c r="O4" s="424"/>
      <c r="P4" s="424"/>
      <c r="Q4" s="424"/>
      <c r="R4" s="424"/>
      <c r="S4" s="424"/>
      <c r="T4" s="424"/>
      <c r="U4" s="424"/>
      <c r="V4" s="424"/>
    </row>
    <row r="5" spans="2:22" x14ac:dyDescent="0.2">
      <c r="B5" s="7" t="s">
        <v>400</v>
      </c>
    </row>
    <row r="6" spans="2:22" x14ac:dyDescent="0.2">
      <c r="B6" s="7"/>
      <c r="D6" s="117"/>
      <c r="E6" s="46" t="s">
        <v>5</v>
      </c>
      <c r="G6" s="201" t="s">
        <v>335</v>
      </c>
    </row>
    <row r="7" spans="2:22" x14ac:dyDescent="0.2">
      <c r="B7" s="112" t="s">
        <v>27</v>
      </c>
      <c r="C7" s="210" t="s">
        <v>8</v>
      </c>
      <c r="D7" s="213" t="s">
        <v>9</v>
      </c>
      <c r="E7" s="120" t="s">
        <v>66</v>
      </c>
      <c r="F7" s="120" t="s">
        <v>29</v>
      </c>
      <c r="G7" s="213" t="s">
        <v>30</v>
      </c>
      <c r="H7" s="120" t="s">
        <v>10</v>
      </c>
      <c r="I7" s="120" t="s">
        <v>29</v>
      </c>
      <c r="L7" s="559" t="s">
        <v>577</v>
      </c>
      <c r="M7" s="560"/>
      <c r="N7" s="560"/>
      <c r="O7" s="560"/>
      <c r="P7" s="560"/>
    </row>
    <row r="8" spans="2:22" x14ac:dyDescent="0.2">
      <c r="B8" s="52" t="s">
        <v>31</v>
      </c>
      <c r="C8" s="217">
        <f>'table 1 &amp; 2'!B9/'table 1 &amp; 2'!$B$9*100</f>
        <v>100</v>
      </c>
      <c r="D8" s="218">
        <f>'table 1 &amp; 2'!C9/'table 1 &amp; 2'!$B$9*100</f>
        <v>77.136211598069352</v>
      </c>
      <c r="E8" s="217">
        <f>'table 1 &amp; 2'!D9/'table 1 &amp; 2'!$B$9*100</f>
        <v>22.863788401930655</v>
      </c>
      <c r="F8" s="217">
        <f>'table 1 &amp; 2'!E9/'table 1 &amp; 2'!$B$9*100</f>
        <v>100</v>
      </c>
      <c r="G8" s="218">
        <f>'table 1 &amp; 2'!F9/'table 1 &amp; 2'!$B$9*100</f>
        <v>0</v>
      </c>
      <c r="H8" s="217">
        <f>'table 1 &amp; 2'!G9/'table 1 &amp; 2'!$B$9*100</f>
        <v>0</v>
      </c>
      <c r="I8" s="217">
        <f>'table 1 &amp; 2'!H9/'table 1 &amp; 2'!$B$9*100</f>
        <v>0</v>
      </c>
      <c r="L8" s="568" t="s">
        <v>575</v>
      </c>
      <c r="M8" s="569"/>
      <c r="N8" s="574">
        <f>MAX(D8:D40)</f>
        <v>88.482451440737535</v>
      </c>
      <c r="O8" s="569" t="str">
        <f>_xlfn.XLOOKUP(N8,D8:D40,B8:B40)</f>
        <v>Los Alamos</v>
      </c>
      <c r="P8" s="570"/>
    </row>
    <row r="9" spans="2:22" x14ac:dyDescent="0.2">
      <c r="B9" t="s">
        <v>32</v>
      </c>
      <c r="C9" s="211">
        <f>'table 1 &amp; 2'!B10/'table 1 &amp; 2'!$B$10*100</f>
        <v>100</v>
      </c>
      <c r="D9" s="214">
        <f>'table 1 &amp; 2'!C10/'table 1 &amp; 2'!$B$10*100</f>
        <v>39.438608053995125</v>
      </c>
      <c r="E9" s="211">
        <f>'table 1 &amp; 2'!D10/'table 1 &amp; 2'!$B$10*100</f>
        <v>60.561391946004882</v>
      </c>
      <c r="F9" s="211">
        <f>'table 1 &amp; 2'!E10/'table 1 &amp; 2'!$B$10*100</f>
        <v>100</v>
      </c>
      <c r="G9" s="214">
        <f>'table 1 &amp; 2'!F10/'table 1 &amp; 2'!$B$10*100</f>
        <v>0</v>
      </c>
      <c r="H9" s="211">
        <f>'table 1 &amp; 2'!G10/'table 1 &amp; 2'!$B$10*100</f>
        <v>0</v>
      </c>
      <c r="I9" s="211">
        <f>'table 1 &amp; 2'!H10/'table 1 &amp; 2'!$B$10*100</f>
        <v>0</v>
      </c>
      <c r="L9" s="571" t="s">
        <v>576</v>
      </c>
      <c r="M9" s="572"/>
      <c r="N9" s="575">
        <f>MIN(D8:D40)</f>
        <v>4.0791415354378664</v>
      </c>
      <c r="O9" s="572" t="str">
        <f>_xlfn.XLOOKUP(N9,D8:D40,B8:B40)</f>
        <v>Lea</v>
      </c>
      <c r="P9" s="573"/>
    </row>
    <row r="10" spans="2:22" x14ac:dyDescent="0.2">
      <c r="B10" s="52" t="s">
        <v>33</v>
      </c>
      <c r="C10" s="217">
        <f>'table 1 &amp; 2'!B11/'table 1 &amp; 2'!$B$11*100</f>
        <v>100</v>
      </c>
      <c r="D10" s="218">
        <f>'table 1 &amp; 2'!C11/'table 1 &amp; 2'!$B$11*100</f>
        <v>53.592775709071319</v>
      </c>
      <c r="E10" s="217">
        <f>'table 1 &amp; 2'!D11/'table 1 &amp; 2'!$B$11*100</f>
        <v>40.869072893879881</v>
      </c>
      <c r="F10" s="217">
        <f>'table 1 &amp; 2'!E11/'table 1 &amp; 2'!$B$11*100</f>
        <v>94.461848602951193</v>
      </c>
      <c r="G10" s="218">
        <f>'table 1 &amp; 2'!F11/'table 1 &amp; 2'!$B$11*100</f>
        <v>4.5056964919506521</v>
      </c>
      <c r="H10" s="217">
        <f>'table 1 &amp; 2'!G11/'table 1 &amp; 2'!$B$11*100</f>
        <v>1.0324549050981591</v>
      </c>
      <c r="I10" s="217">
        <f>'table 1 &amp; 2'!H11/'table 1 &amp; 2'!$B$11*100</f>
        <v>5.5381513970488108</v>
      </c>
    </row>
    <row r="11" spans="2:22" x14ac:dyDescent="0.2">
      <c r="B11" t="s">
        <v>34</v>
      </c>
      <c r="C11" s="211">
        <f>'table 1 &amp; 2'!B12/'table 1 &amp; 2'!$B$12*100</f>
        <v>100</v>
      </c>
      <c r="D11" s="214">
        <f>'table 1 &amp; 2'!C12/'table 1 &amp; 2'!$B$12*100</f>
        <v>44.070695436258625</v>
      </c>
      <c r="E11" s="211">
        <f>'table 1 &amp; 2'!D12/'table 1 &amp; 2'!$B$12*100</f>
        <v>55.929304563741368</v>
      </c>
      <c r="F11" s="211">
        <f>'table 1 &amp; 2'!E12/'table 1 &amp; 2'!$B$12*100</f>
        <v>100</v>
      </c>
      <c r="G11" s="214">
        <f>'table 1 &amp; 2'!F12/'table 1 &amp; 2'!$B$12*100</f>
        <v>0</v>
      </c>
      <c r="H11" s="211">
        <f>'table 1 &amp; 2'!G12/'table 1 &amp; 2'!$B$12*100</f>
        <v>0</v>
      </c>
      <c r="I11" s="211">
        <f>'table 1 &amp; 2'!H12/'table 1 &amp; 2'!$B$12*100</f>
        <v>0</v>
      </c>
    </row>
    <row r="12" spans="2:22" x14ac:dyDescent="0.2">
      <c r="B12" s="52" t="s">
        <v>35</v>
      </c>
      <c r="C12" s="217">
        <f>'table 1 &amp; 2'!B13/'table 1 &amp; 2'!$B$13*100</f>
        <v>100</v>
      </c>
      <c r="D12" s="218">
        <f>'table 1 &amp; 2'!C13/'table 1 &amp; 2'!$B$13*100</f>
        <v>68.90673012891169</v>
      </c>
      <c r="E12" s="217">
        <f>'table 1 &amp; 2'!D13/'table 1 &amp; 2'!$B$13*100</f>
        <v>29.359704645791467</v>
      </c>
      <c r="F12" s="217">
        <f>'table 1 &amp; 2'!E13/'table 1 &amp; 2'!$B$13*100</f>
        <v>98.266434774703157</v>
      </c>
      <c r="G12" s="218">
        <f>'table 1 &amp; 2'!F13/'table 1 &amp; 2'!$B$13*100</f>
        <v>1.4302967558435096</v>
      </c>
      <c r="H12" s="217">
        <f>'table 1 &amp; 2'!G13/'table 1 &amp; 2'!$B$13*100</f>
        <v>0.30326846945333502</v>
      </c>
      <c r="I12" s="217">
        <f>'table 1 &amp; 2'!H13/'table 1 &amp; 2'!$B$13*100</f>
        <v>1.7335652252968445</v>
      </c>
      <c r="L12" s="559" t="s">
        <v>577</v>
      </c>
      <c r="M12" s="560"/>
      <c r="N12" s="560"/>
      <c r="O12" s="560"/>
      <c r="P12" s="560"/>
    </row>
    <row r="13" spans="2:22" x14ac:dyDescent="0.2">
      <c r="B13" t="s">
        <v>36</v>
      </c>
      <c r="C13" s="211">
        <f>'table 1 &amp; 2'!B14/'table 1 &amp; 2'!$B$14*100</f>
        <v>100</v>
      </c>
      <c r="D13" s="214">
        <f>'table 1 &amp; 2'!C14/'table 1 &amp; 2'!$B$14*100</f>
        <v>60.327057776712003</v>
      </c>
      <c r="E13" s="211">
        <f>'table 1 &amp; 2'!D14/'table 1 &amp; 2'!$B$14*100</f>
        <v>39.672942223288004</v>
      </c>
      <c r="F13" s="211">
        <f>'table 1 &amp; 2'!E14/'table 1 &amp; 2'!$B$14*100</f>
        <v>100</v>
      </c>
      <c r="G13" s="214">
        <f>'table 1 &amp; 2'!F14/'table 1 &amp; 2'!$B$14*100</f>
        <v>0</v>
      </c>
      <c r="H13" s="211">
        <f>'table 1 &amp; 2'!G14/'table 1 &amp; 2'!$B$14*100</f>
        <v>0</v>
      </c>
      <c r="I13" s="211">
        <f>'table 1 &amp; 2'!H14/'table 1 &amp; 2'!$B$14*100</f>
        <v>0</v>
      </c>
      <c r="L13" s="578" t="s">
        <v>581</v>
      </c>
      <c r="M13" s="569"/>
      <c r="N13" s="574">
        <f>LARGE(I8:I40,1)</f>
        <v>82.880321027823229</v>
      </c>
      <c r="O13" s="569" t="str">
        <f>_xlfn.XLOOKUP(N13,I8:I40,B8:B40)</f>
        <v>Lea</v>
      </c>
      <c r="P13" s="570"/>
    </row>
    <row r="14" spans="2:22" x14ac:dyDescent="0.2">
      <c r="B14" s="52" t="s">
        <v>67</v>
      </c>
      <c r="C14" s="217">
        <f>'table 1 &amp; 2'!B15/'table 1 &amp; 2'!$B$15*100</f>
        <v>100</v>
      </c>
      <c r="D14" s="218">
        <f>'table 1 &amp; 2'!C15/'table 1 &amp; 2'!$B$15*100</f>
        <v>19.307661049897021</v>
      </c>
      <c r="E14" s="217">
        <f>'table 1 &amp; 2'!D15/'table 1 &amp; 2'!$B$15*100</f>
        <v>80.692338950102979</v>
      </c>
      <c r="F14" s="217">
        <f>'table 1 &amp; 2'!E15/'table 1 &amp; 2'!$B$15*100</f>
        <v>100</v>
      </c>
      <c r="G14" s="218">
        <f>'table 1 &amp; 2'!F15/'table 1 &amp; 2'!$B$15*100</f>
        <v>0</v>
      </c>
      <c r="H14" s="217">
        <f>'table 1 &amp; 2'!G15/'table 1 &amp; 2'!$B$15*100</f>
        <v>0</v>
      </c>
      <c r="I14" s="217">
        <f>'table 1 &amp; 2'!H15/'table 1 &amp; 2'!$B$15*100</f>
        <v>0</v>
      </c>
      <c r="L14" s="577" t="s">
        <v>580</v>
      </c>
      <c r="M14" s="572"/>
      <c r="N14" s="575">
        <f>LARGE(I8:I40,2)</f>
        <v>74.825463063342198</v>
      </c>
      <c r="O14" s="572" t="str">
        <f>_xlfn.XLOOKUP(N14,I8:I40,B8:B40)</f>
        <v>Eddy</v>
      </c>
      <c r="P14" s="573"/>
    </row>
    <row r="15" spans="2:22" x14ac:dyDescent="0.2">
      <c r="B15" t="s">
        <v>37</v>
      </c>
      <c r="C15" s="211">
        <f>'table 1 &amp; 2'!B16/'table 1 &amp; 2'!$B$16*100</f>
        <v>100</v>
      </c>
      <c r="D15" s="214">
        <f>'table 1 &amp; 2'!C16/'table 1 &amp; 2'!$B$16*100</f>
        <v>73.766268916878971</v>
      </c>
      <c r="E15" s="211">
        <f>'table 1 &amp; 2'!D16/'table 1 &amp; 2'!$B$16*100</f>
        <v>26.233731083121025</v>
      </c>
      <c r="F15" s="211">
        <f>'table 1 &amp; 2'!E16/'table 1 &amp; 2'!$B$16*100</f>
        <v>100</v>
      </c>
      <c r="G15" s="214">
        <f>'table 1 &amp; 2'!F16/'table 1 &amp; 2'!$B$16*100</f>
        <v>0</v>
      </c>
      <c r="H15" s="211">
        <f>'table 1 &amp; 2'!G16/'table 1 &amp; 2'!$B$16*100</f>
        <v>0</v>
      </c>
      <c r="I15" s="211">
        <f>'table 1 &amp; 2'!H16/'table 1 &amp; 2'!$B$16*100</f>
        <v>0</v>
      </c>
    </row>
    <row r="16" spans="2:22" x14ac:dyDescent="0.2">
      <c r="B16" s="52" t="s">
        <v>38</v>
      </c>
      <c r="C16" s="217">
        <f>'table 1 &amp; 2'!B17/'table 1 &amp; 2'!$B$17*100</f>
        <v>100</v>
      </c>
      <c r="D16" s="218">
        <f>'table 1 &amp; 2'!C17/'table 1 &amp; 2'!$B$17*100</f>
        <v>5.8298665880246254</v>
      </c>
      <c r="E16" s="217">
        <f>'table 1 &amp; 2'!D17/'table 1 &amp; 2'!$B$17*100</f>
        <v>19.344670348633159</v>
      </c>
      <c r="F16" s="217">
        <f>'table 1 &amp; 2'!E17/'table 1 &amp; 2'!$B$17*100</f>
        <v>25.17453693665778</v>
      </c>
      <c r="G16" s="254">
        <f>'table 1 &amp; 2'!F17/'table 1 &amp; 2'!$B$17*100</f>
        <v>60.944037241227655</v>
      </c>
      <c r="H16" s="217">
        <f>'table 1 &amp; 2'!G17/'table 1 &amp; 2'!$B$17*100</f>
        <v>13.881425822114549</v>
      </c>
      <c r="I16" s="217">
        <f>'table 1 &amp; 2'!H17/'table 1 &amp; 2'!$B$17*100</f>
        <v>74.825463063342198</v>
      </c>
    </row>
    <row r="17" spans="2:9" x14ac:dyDescent="0.2">
      <c r="B17" t="s">
        <v>39</v>
      </c>
      <c r="C17" s="211">
        <f>'table 1 &amp; 2'!B18/'table 1 &amp; 2'!$B$18*100</f>
        <v>100</v>
      </c>
      <c r="D17" s="214">
        <f>'table 1 &amp; 2'!C18/'table 1 &amp; 2'!$B$18*100</f>
        <v>54.973781423591831</v>
      </c>
      <c r="E17" s="211">
        <f>'table 1 &amp; 2'!D18/'table 1 &amp; 2'!$B$18*100</f>
        <v>26.509495368733553</v>
      </c>
      <c r="F17" s="211">
        <f>'table 1 &amp; 2'!E18/'table 1 &amp; 2'!$B$18*100</f>
        <v>81.483276792325384</v>
      </c>
      <c r="G17" s="214">
        <f>'table 1 &amp; 2'!F18/'table 1 &amp; 2'!$B$18*100</f>
        <v>18.51672320767462</v>
      </c>
      <c r="H17" s="211">
        <f>'table 1 &amp; 2'!G18/'table 1 &amp; 2'!$B$18*100</f>
        <v>0</v>
      </c>
      <c r="I17" s="211">
        <f>'table 1 &amp; 2'!H18/'table 1 &amp; 2'!$B$18*100</f>
        <v>18.51672320767462</v>
      </c>
    </row>
    <row r="18" spans="2:9" x14ac:dyDescent="0.2">
      <c r="B18" s="52" t="s">
        <v>40</v>
      </c>
      <c r="C18" s="217">
        <f>'table 1 &amp; 2'!B19/'table 1 &amp; 2'!$B$19*100</f>
        <v>100</v>
      </c>
      <c r="D18" s="218">
        <f>'table 1 &amp; 2'!C19/'table 1 &amp; 2'!$B$19*100</f>
        <v>21.558743919790558</v>
      </c>
      <c r="E18" s="217">
        <f>'table 1 &amp; 2'!D19/'table 1 &amp; 2'!$B$19*100</f>
        <v>78.441256080209442</v>
      </c>
      <c r="F18" s="217">
        <f>'table 1 &amp; 2'!E19/'table 1 &amp; 2'!$B$19*100</f>
        <v>100</v>
      </c>
      <c r="G18" s="218">
        <f>'table 1 &amp; 2'!F19/'table 1 &amp; 2'!$B$19*100</f>
        <v>0</v>
      </c>
      <c r="H18" s="217">
        <f>'table 1 &amp; 2'!G19/'table 1 &amp; 2'!$B$19*100</f>
        <v>0</v>
      </c>
      <c r="I18" s="217">
        <f>'table 1 &amp; 2'!H19/'table 1 &amp; 2'!$B$19*100</f>
        <v>0</v>
      </c>
    </row>
    <row r="19" spans="2:9" x14ac:dyDescent="0.2">
      <c r="B19" t="s">
        <v>41</v>
      </c>
      <c r="C19" s="211">
        <f>'table 1 &amp; 2'!B20/'table 1 &amp; 2'!$B$20*100</f>
        <v>100</v>
      </c>
      <c r="D19" s="214">
        <f>'table 1 &amp; 2'!C20/'table 1 &amp; 2'!$B$20*100</f>
        <v>8.5652295405517158</v>
      </c>
      <c r="E19" s="211">
        <f>'table 1 &amp; 2'!D20/'table 1 &amp; 2'!$B$20*100</f>
        <v>72.415721584639755</v>
      </c>
      <c r="F19" s="211">
        <f>'table 1 &amp; 2'!E20/'table 1 &amp; 2'!$B$20*100</f>
        <v>80.980951125191481</v>
      </c>
      <c r="G19" s="214">
        <f>'table 1 &amp; 2'!F20/'table 1 &amp; 2'!$B$20*100</f>
        <v>15.666913089848977</v>
      </c>
      <c r="H19" s="211">
        <f>'table 1 &amp; 2'!G20/'table 1 &amp; 2'!$B$20*100</f>
        <v>3.3521357849595459</v>
      </c>
      <c r="I19" s="211">
        <f>'table 1 &amp; 2'!H20/'table 1 &amp; 2'!$B$20*100</f>
        <v>19.019048874808522</v>
      </c>
    </row>
    <row r="20" spans="2:9" x14ac:dyDescent="0.2">
      <c r="B20" s="52" t="s">
        <v>42</v>
      </c>
      <c r="C20" s="217">
        <f>'table 1 &amp; 2'!B21/'table 1 &amp; 2'!$B$21*100</f>
        <v>100</v>
      </c>
      <c r="D20" s="218">
        <f>'table 1 &amp; 2'!C21/'table 1 &amp; 2'!$B$21*100</f>
        <v>15.786852315876299</v>
      </c>
      <c r="E20" s="217">
        <f>'table 1 &amp; 2'!D21/'table 1 &amp; 2'!$B$21*100</f>
        <v>84.213147684123697</v>
      </c>
      <c r="F20" s="217">
        <f>'table 1 &amp; 2'!E21/'table 1 &amp; 2'!$B$21*100</f>
        <v>100</v>
      </c>
      <c r="G20" s="218">
        <f>'table 1 &amp; 2'!F21/'table 1 &amp; 2'!$B$21*100</f>
        <v>0</v>
      </c>
      <c r="H20" s="217">
        <f>'table 1 &amp; 2'!G21/'table 1 &amp; 2'!$B$21*100</f>
        <v>0</v>
      </c>
      <c r="I20" s="217">
        <f>'table 1 &amp; 2'!H21/'table 1 &amp; 2'!$B$21*100</f>
        <v>0</v>
      </c>
    </row>
    <row r="21" spans="2:9" x14ac:dyDescent="0.2">
      <c r="B21" t="s">
        <v>43</v>
      </c>
      <c r="C21" s="211">
        <f>'table 1 &amp; 2'!B22/'table 1 &amp; 2'!$B$22*100</f>
        <v>100</v>
      </c>
      <c r="D21" s="214">
        <f>'table 1 &amp; 2'!C22/'table 1 &amp; 2'!$B$22*100</f>
        <v>4.0791415354378664</v>
      </c>
      <c r="E21" s="211">
        <f>'table 1 &amp; 2'!D22/'table 1 &amp; 2'!$B$22*100</f>
        <v>13.0405374367389</v>
      </c>
      <c r="F21" s="211">
        <f>'table 1 &amp; 2'!E22/'table 1 &amp; 2'!$B$22*100</f>
        <v>17.119678972176764</v>
      </c>
      <c r="G21" s="255">
        <f>'table 1 &amp; 2'!F22/'table 1 &amp; 2'!$B$22*100</f>
        <v>67.221438317769937</v>
      </c>
      <c r="H21" s="211">
        <f>'table 1 &amp; 2'!G22/'table 1 &amp; 2'!$B$22*100</f>
        <v>15.658882710053293</v>
      </c>
      <c r="I21" s="211">
        <f>'table 1 &amp; 2'!H22/'table 1 &amp; 2'!$B$22*100</f>
        <v>82.880321027823229</v>
      </c>
    </row>
    <row r="22" spans="2:9" x14ac:dyDescent="0.2">
      <c r="B22" s="52" t="s">
        <v>44</v>
      </c>
      <c r="C22" s="217">
        <f>'table 1 &amp; 2'!B23/'table 1 &amp; 2'!$B$23*100</f>
        <v>100</v>
      </c>
      <c r="D22" s="218">
        <f>'table 1 &amp; 2'!C23/'table 1 &amp; 2'!$B$23*100</f>
        <v>68.102108868564741</v>
      </c>
      <c r="E22" s="217">
        <f>'table 1 &amp; 2'!D23/'table 1 &amp; 2'!$B$23*100</f>
        <v>31.897891131435269</v>
      </c>
      <c r="F22" s="217">
        <f>'table 1 &amp; 2'!E23/'table 1 &amp; 2'!$B$23*100</f>
        <v>100</v>
      </c>
      <c r="G22" s="254">
        <f>'table 1 &amp; 2'!F23/'table 1 &amp; 2'!$B$23*100</f>
        <v>0</v>
      </c>
      <c r="H22" s="217">
        <f>'table 1 &amp; 2'!G23/'table 1 &amp; 2'!$B$23*100</f>
        <v>0</v>
      </c>
      <c r="I22" s="217">
        <f>'table 1 &amp; 2'!H23/'table 1 &amp; 2'!$B$23*100</f>
        <v>0</v>
      </c>
    </row>
    <row r="23" spans="2:9" x14ac:dyDescent="0.2">
      <c r="B23" t="s">
        <v>45</v>
      </c>
      <c r="C23" s="211">
        <f>'table 1 &amp; 2'!B24/'table 1 &amp; 2'!$B$24*100</f>
        <v>100</v>
      </c>
      <c r="D23" s="214">
        <f>'table 1 &amp; 2'!C24/'table 1 &amp; 2'!$B$24*100</f>
        <v>88.482451440737535</v>
      </c>
      <c r="E23" s="211">
        <f>'table 1 &amp; 2'!D24/'table 1 &amp; 2'!$B$24*100</f>
        <v>11.517548559262471</v>
      </c>
      <c r="F23" s="211">
        <f>'table 1 &amp; 2'!E24/'table 1 &amp; 2'!$B$24*100</f>
        <v>100</v>
      </c>
      <c r="G23" s="255">
        <f>'table 1 &amp; 2'!F24/'table 1 &amp; 2'!$B$24*100</f>
        <v>0</v>
      </c>
      <c r="H23" s="211">
        <f>'table 1 &amp; 2'!G24/'table 1 &amp; 2'!$B$24*100</f>
        <v>0</v>
      </c>
      <c r="I23" s="211">
        <f>'table 1 &amp; 2'!H24/'table 1 &amp; 2'!$B$24*100</f>
        <v>0</v>
      </c>
    </row>
    <row r="24" spans="2:9" x14ac:dyDescent="0.2">
      <c r="B24" s="52" t="s">
        <v>46</v>
      </c>
      <c r="C24" s="217">
        <f>'table 1 &amp; 2'!B25/'table 1 &amp; 2'!$B$25*100</f>
        <v>100</v>
      </c>
      <c r="D24" s="218">
        <f>'table 1 &amp; 2'!C25/'table 1 &amp; 2'!$B$25*100</f>
        <v>43.160319352633621</v>
      </c>
      <c r="E24" s="217">
        <f>'table 1 &amp; 2'!D25/'table 1 &amp; 2'!$B$25*100</f>
        <v>56.839680647366379</v>
      </c>
      <c r="F24" s="217">
        <f>'table 1 &amp; 2'!E25/'table 1 &amp; 2'!$B$25*100</f>
        <v>100</v>
      </c>
      <c r="G24" s="254">
        <f>'table 1 &amp; 2'!F25/'table 1 &amp; 2'!$B$25*100</f>
        <v>0</v>
      </c>
      <c r="H24" s="217">
        <f>'table 1 &amp; 2'!G25/'table 1 &amp; 2'!$B$25*100</f>
        <v>0</v>
      </c>
      <c r="I24" s="217">
        <f>'table 1 &amp; 2'!H25/'table 1 &amp; 2'!$B$25*100</f>
        <v>0</v>
      </c>
    </row>
    <row r="25" spans="2:9" x14ac:dyDescent="0.2">
      <c r="B25" t="s">
        <v>47</v>
      </c>
      <c r="C25" s="211">
        <f>'table 1 &amp; 2'!B26/'table 1 &amp; 2'!$B$26*100</f>
        <v>100</v>
      </c>
      <c r="D25" s="214">
        <f>'table 1 &amp; 2'!C26/'table 1 &amp; 2'!$B$26*100</f>
        <v>40.944350947571508</v>
      </c>
      <c r="E25" s="211">
        <f>'table 1 &amp; 2'!D26/'table 1 &amp; 2'!$B$26*100</f>
        <v>59.051321539200316</v>
      </c>
      <c r="F25" s="211">
        <f>'table 1 &amp; 2'!E26/'table 1 &amp; 2'!$B$26*100</f>
        <v>99.995672486771824</v>
      </c>
      <c r="G25" s="255">
        <f>'table 1 &amp; 2'!F26/'table 1 &amp; 2'!$B$26*100</f>
        <v>3.5053063502442226E-3</v>
      </c>
      <c r="H25" s="211">
        <f>'table 1 &amp; 2'!G26/'table 1 &amp; 2'!$B$26*100</f>
        <v>8.2220687792818438E-4</v>
      </c>
      <c r="I25" s="211">
        <f>'table 1 &amp; 2'!H26/'table 1 &amp; 2'!$B$26*100</f>
        <v>4.3275132281724079E-3</v>
      </c>
    </row>
    <row r="26" spans="2:9" x14ac:dyDescent="0.2">
      <c r="B26" s="52" t="s">
        <v>48</v>
      </c>
      <c r="C26" s="217">
        <f>'table 1 &amp; 2'!B27/'table 1 &amp; 2'!$B$27*100</f>
        <v>100</v>
      </c>
      <c r="D26" s="218">
        <f>'table 1 &amp; 2'!C27/'table 1 &amp; 2'!$B$27*100</f>
        <v>54.519411339487647</v>
      </c>
      <c r="E26" s="217">
        <f>'table 1 &amp; 2'!D27/'table 1 &amp; 2'!$B$27*100</f>
        <v>45.480588660512353</v>
      </c>
      <c r="F26" s="217">
        <f>'table 1 &amp; 2'!E27/'table 1 &amp; 2'!$B$27*100</f>
        <v>100</v>
      </c>
      <c r="G26" s="254">
        <f>'table 1 &amp; 2'!F27/'table 1 &amp; 2'!$B$27*100</f>
        <v>0</v>
      </c>
      <c r="H26" s="217">
        <f>'table 1 &amp; 2'!G27/'table 1 &amp; 2'!$B$27*100</f>
        <v>0</v>
      </c>
      <c r="I26" s="217">
        <f>'table 1 &amp; 2'!H27/'table 1 &amp; 2'!$B$27*100</f>
        <v>0</v>
      </c>
    </row>
    <row r="27" spans="2:9" x14ac:dyDescent="0.2">
      <c r="B27" t="s">
        <v>49</v>
      </c>
      <c r="C27" s="211">
        <f>'table 1 &amp; 2'!B28/'table 1 &amp; 2'!$B$28*100</f>
        <v>100</v>
      </c>
      <c r="D27" s="214">
        <f>'table 1 &amp; 2'!C28/'table 1 &amp; 2'!$B$28*100</f>
        <v>68.448034822480636</v>
      </c>
      <c r="E27" s="211">
        <f>'table 1 &amp; 2'!D28/'table 1 &amp; 2'!$B$28*100</f>
        <v>31.55196517751936</v>
      </c>
      <c r="F27" s="211">
        <f>'table 1 &amp; 2'!E28/'table 1 &amp; 2'!$B$28*100</f>
        <v>100</v>
      </c>
      <c r="G27" s="255">
        <f>'table 1 &amp; 2'!F28/'table 1 &amp; 2'!$B$28*100</f>
        <v>0</v>
      </c>
      <c r="H27" s="211">
        <f>'table 1 &amp; 2'!G28/'table 1 &amp; 2'!$B$28*100</f>
        <v>0</v>
      </c>
      <c r="I27" s="211">
        <f>'table 1 &amp; 2'!H28/'table 1 &amp; 2'!$B$28*100</f>
        <v>0</v>
      </c>
    </row>
    <row r="28" spans="2:9" x14ac:dyDescent="0.2">
      <c r="B28" s="52" t="s">
        <v>50</v>
      </c>
      <c r="C28" s="217">
        <f>'table 1 &amp; 2'!B29/'table 1 &amp; 2'!$B$29*100</f>
        <v>100</v>
      </c>
      <c r="D28" s="218">
        <f>'table 1 &amp; 2'!C29/'table 1 &amp; 2'!$B$29*100</f>
        <v>36.41224064112351</v>
      </c>
      <c r="E28" s="217">
        <f>'table 1 &amp; 2'!D29/'table 1 &amp; 2'!$B$29*100</f>
        <v>63.285921990366909</v>
      </c>
      <c r="F28" s="217">
        <f>'table 1 &amp; 2'!E29/'table 1 &amp; 2'!$B$29*100</f>
        <v>99.698162631490433</v>
      </c>
      <c r="G28" s="254">
        <f>'table 1 &amp; 2'!F29/'table 1 &amp; 2'!$B$29*100</f>
        <v>0.24438500741904551</v>
      </c>
      <c r="H28" s="217">
        <f>'table 1 &amp; 2'!G29/'table 1 &amp; 2'!$B$29*100</f>
        <v>5.7452361090537814E-2</v>
      </c>
      <c r="I28" s="217">
        <f>'table 1 &amp; 2'!H29/'table 1 &amp; 2'!$B$29*100</f>
        <v>0.30183736850958331</v>
      </c>
    </row>
    <row r="29" spans="2:9" x14ac:dyDescent="0.2">
      <c r="B29" t="s">
        <v>51</v>
      </c>
      <c r="C29" s="211">
        <f>'table 1 &amp; 2'!B30/'table 1 &amp; 2'!$B$30*100</f>
        <v>100</v>
      </c>
      <c r="D29" s="214">
        <f>'table 1 &amp; 2'!C30/'table 1 &amp; 2'!$B$30*100</f>
        <v>47.560856919400315</v>
      </c>
      <c r="E29" s="211">
        <f>'table 1 &amp; 2'!D30/'table 1 &amp; 2'!$B$30*100</f>
        <v>30.638509254034368</v>
      </c>
      <c r="F29" s="211">
        <f>'table 1 &amp; 2'!E30/'table 1 &amp; 2'!$B$30*100</f>
        <v>78.199366173434683</v>
      </c>
      <c r="G29" s="255">
        <f>'table 1 &amp; 2'!F30/'table 1 &amp; 2'!$B$30*100</f>
        <v>17.603569778175665</v>
      </c>
      <c r="H29" s="211">
        <f>'table 1 &amp; 2'!G30/'table 1 &amp; 2'!$B$30*100</f>
        <v>4.1970640483896542</v>
      </c>
      <c r="I29" s="211">
        <f>'table 1 &amp; 2'!H30/'table 1 &amp; 2'!$B$30*100</f>
        <v>21.800633826565321</v>
      </c>
    </row>
    <row r="30" spans="2:9" x14ac:dyDescent="0.2">
      <c r="B30" s="52" t="s">
        <v>52</v>
      </c>
      <c r="C30" s="217">
        <f>'table 1 &amp; 2'!B31/'table 1 &amp; 2'!$B$31*100</f>
        <v>100</v>
      </c>
      <c r="D30" s="218">
        <f>'table 1 &amp; 2'!C31/'table 1 &amp; 2'!$B$31*100</f>
        <v>33.11806980994826</v>
      </c>
      <c r="E30" s="217">
        <f>'table 1 &amp; 2'!D31/'table 1 &amp; 2'!$B$31*100</f>
        <v>64.650202473278384</v>
      </c>
      <c r="F30" s="217">
        <f>'table 1 &amp; 2'!E31/'table 1 &amp; 2'!$B$31*100</f>
        <v>97.768272283226636</v>
      </c>
      <c r="G30" s="254">
        <f>'table 1 &amp; 2'!F31/'table 1 &amp; 2'!$B$31*100</f>
        <v>1.8335549055247657</v>
      </c>
      <c r="H30" s="217">
        <f>'table 1 &amp; 2'!G31/'table 1 &amp; 2'!$B$31*100</f>
        <v>0.39817281124859538</v>
      </c>
      <c r="I30" s="217">
        <f>'table 1 &amp; 2'!H31/'table 1 &amp; 2'!$B$31*100</f>
        <v>2.2317277167733613</v>
      </c>
    </row>
    <row r="31" spans="2:9" x14ac:dyDescent="0.2">
      <c r="B31" t="s">
        <v>53</v>
      </c>
      <c r="C31" s="211">
        <f>'table 1 &amp; 2'!B32/'table 1 &amp; 2'!$B$32*100</f>
        <v>100</v>
      </c>
      <c r="D31" s="214">
        <f>'table 1 &amp; 2'!C32/'table 1 &amp; 2'!$B$32*100</f>
        <v>44.871239780789686</v>
      </c>
      <c r="E31" s="211">
        <f>'table 1 &amp; 2'!D32/'table 1 &amp; 2'!$B$32*100</f>
        <v>41.286910050236344</v>
      </c>
      <c r="F31" s="211">
        <f>'table 1 &amp; 2'!E32/'table 1 &amp; 2'!$B$32*100</f>
        <v>86.158149831026037</v>
      </c>
      <c r="G31" s="255">
        <f>'table 1 &amp; 2'!F32/'table 1 &amp; 2'!$B$32*100</f>
        <v>11.288891994573103</v>
      </c>
      <c r="H31" s="211">
        <f>'table 1 &amp; 2'!G32/'table 1 &amp; 2'!$B$32*100</f>
        <v>2.5529581744008691</v>
      </c>
      <c r="I31" s="211">
        <f>'table 1 &amp; 2'!H32/'table 1 &amp; 2'!$B$32*100</f>
        <v>13.841850168973972</v>
      </c>
    </row>
    <row r="32" spans="2:9" x14ac:dyDescent="0.2">
      <c r="B32" s="52" t="s">
        <v>54</v>
      </c>
      <c r="C32" s="217">
        <f>'table 1 &amp; 2'!B33/'table 1 &amp; 2'!$B$33*100</f>
        <v>100</v>
      </c>
      <c r="D32" s="218">
        <f>'table 1 &amp; 2'!C33/'table 1 &amp; 2'!$B$33*100</f>
        <v>66.819076988479381</v>
      </c>
      <c r="E32" s="217">
        <f>'table 1 &amp; 2'!D33/'table 1 &amp; 2'!$B$33*100</f>
        <v>33.180923011520633</v>
      </c>
      <c r="F32" s="217">
        <f>'table 1 &amp; 2'!E33/'table 1 &amp; 2'!$B$33*100</f>
        <v>100</v>
      </c>
      <c r="G32" s="218">
        <f>'table 1 &amp; 2'!F33/'table 1 &amp; 2'!$B$33*100</f>
        <v>0</v>
      </c>
      <c r="H32" s="217">
        <f>'table 1 &amp; 2'!G33/'table 1 &amp; 2'!$B$33*100</f>
        <v>0</v>
      </c>
      <c r="I32" s="217">
        <f>'table 1 &amp; 2'!H33/'table 1 &amp; 2'!$B$33*100</f>
        <v>0</v>
      </c>
    </row>
    <row r="33" spans="2:9" x14ac:dyDescent="0.2">
      <c r="B33" t="s">
        <v>55</v>
      </c>
      <c r="C33" s="211">
        <f>'table 1 &amp; 2'!B34/'table 1 &amp; 2'!$B$34*100</f>
        <v>100</v>
      </c>
      <c r="D33" s="214">
        <f>'table 1 &amp; 2'!C34/'table 1 &amp; 2'!$B$34*100</f>
        <v>72.93782348506322</v>
      </c>
      <c r="E33" s="211">
        <f>'table 1 &amp; 2'!D34/'table 1 &amp; 2'!$B$34*100</f>
        <v>25.270707837554173</v>
      </c>
      <c r="F33" s="211">
        <f>'table 1 &amp; 2'!E34/'table 1 &amp; 2'!$B$34*100</f>
        <v>98.208531322617389</v>
      </c>
      <c r="G33" s="214">
        <f>'table 1 &amp; 2'!F34/'table 1 &amp; 2'!$B$34*100</f>
        <v>1.4522376279138307</v>
      </c>
      <c r="H33" s="211">
        <f>'table 1 &amp; 2'!G34/'table 1 &amp; 2'!$B$34*100</f>
        <v>0.33923104946878291</v>
      </c>
      <c r="I33" s="211">
        <f>'table 1 &amp; 2'!H34/'table 1 &amp; 2'!$B$34*100</f>
        <v>1.7914686773826134</v>
      </c>
    </row>
    <row r="34" spans="2:9" x14ac:dyDescent="0.2">
      <c r="B34" s="52" t="s">
        <v>56</v>
      </c>
      <c r="C34" s="217">
        <f>'table 1 &amp; 2'!B35/'table 1 &amp; 2'!$B$35*100</f>
        <v>100</v>
      </c>
      <c r="D34" s="218">
        <f>'table 1 &amp; 2'!C35/'table 1 &amp; 2'!$B$35*100</f>
        <v>81.12163723737028</v>
      </c>
      <c r="E34" s="217">
        <f>'table 1 &amp; 2'!D35/'table 1 &amp; 2'!$B$35*100</f>
        <v>18.87836276262972</v>
      </c>
      <c r="F34" s="217">
        <f>'table 1 &amp; 2'!E35/'table 1 &amp; 2'!$B$35*100</f>
        <v>100</v>
      </c>
      <c r="G34" s="218">
        <f>'table 1 &amp; 2'!F35/'table 1 &amp; 2'!$B$35*100</f>
        <v>0</v>
      </c>
      <c r="H34" s="217">
        <f>'table 1 &amp; 2'!G35/'table 1 &amp; 2'!$B$35*100</f>
        <v>0</v>
      </c>
      <c r="I34" s="217">
        <f>'table 1 &amp; 2'!H35/'table 1 &amp; 2'!$B$35*100</f>
        <v>0</v>
      </c>
    </row>
    <row r="35" spans="2:9" x14ac:dyDescent="0.2">
      <c r="B35" t="s">
        <v>57</v>
      </c>
      <c r="C35" s="211">
        <f>'table 1 &amp; 2'!B36/'table 1 &amp; 2'!$B$36*100</f>
        <v>100</v>
      </c>
      <c r="D35" s="214">
        <f>'table 1 &amp; 2'!C36/'table 1 &amp; 2'!$B$36*100</f>
        <v>63.884918049458228</v>
      </c>
      <c r="E35" s="211">
        <f>'table 1 &amp; 2'!D36/'table 1 &amp; 2'!$B$36*100</f>
        <v>36.115081950541772</v>
      </c>
      <c r="F35" s="211">
        <f>'table 1 &amp; 2'!E36/'table 1 &amp; 2'!$B$36*100</f>
        <v>100</v>
      </c>
      <c r="G35" s="214">
        <f>'table 1 &amp; 2'!F36/'table 1 &amp; 2'!$B$36*100</f>
        <v>0</v>
      </c>
      <c r="H35" s="211">
        <f>'table 1 &amp; 2'!G36/'table 1 &amp; 2'!$B$36*100</f>
        <v>0</v>
      </c>
      <c r="I35" s="211">
        <f>'table 1 &amp; 2'!H36/'table 1 &amp; 2'!$B$36*100</f>
        <v>0</v>
      </c>
    </row>
    <row r="36" spans="2:9" x14ac:dyDescent="0.2">
      <c r="B36" s="52" t="s">
        <v>58</v>
      </c>
      <c r="C36" s="217">
        <f>'table 1 &amp; 2'!B37/'table 1 &amp; 2'!$B$37*100</f>
        <v>100</v>
      </c>
      <c r="D36" s="218">
        <f>'table 1 &amp; 2'!C37/'table 1 &amp; 2'!$B$37*100</f>
        <v>50.554864375002815</v>
      </c>
      <c r="E36" s="217">
        <f>'table 1 &amp; 2'!D37/'table 1 &amp; 2'!$B$37*100</f>
        <v>49.445135624997185</v>
      </c>
      <c r="F36" s="217">
        <f>'table 1 &amp; 2'!E37/'table 1 &amp; 2'!$B$37*100</f>
        <v>100</v>
      </c>
      <c r="G36" s="218">
        <f>'table 1 &amp; 2'!F37/'table 1 &amp; 2'!$B$37*100</f>
        <v>0</v>
      </c>
      <c r="H36" s="217">
        <f>'table 1 &amp; 2'!G37/'table 1 &amp; 2'!$B$37*100</f>
        <v>0</v>
      </c>
      <c r="I36" s="217">
        <f>'table 1 &amp; 2'!H37/'table 1 &amp; 2'!$B$37*100</f>
        <v>0</v>
      </c>
    </row>
    <row r="37" spans="2:9" x14ac:dyDescent="0.2">
      <c r="B37" t="s">
        <v>59</v>
      </c>
      <c r="C37" s="211">
        <f>'table 1 &amp; 2'!B38/'table 1 &amp; 2'!$B$38*100</f>
        <v>100</v>
      </c>
      <c r="D37" s="214">
        <f>'table 1 &amp; 2'!C38/'table 1 &amp; 2'!$B$38*100</f>
        <v>64.585673880917255</v>
      </c>
      <c r="E37" s="211">
        <f>'table 1 &amp; 2'!D38/'table 1 &amp; 2'!$B$38*100</f>
        <v>35.414326119082752</v>
      </c>
      <c r="F37" s="211">
        <f>'table 1 &amp; 2'!E38/'table 1 &amp; 2'!$B$38*100</f>
        <v>100</v>
      </c>
      <c r="G37" s="214">
        <f>'table 1 &amp; 2'!F38/'table 1 &amp; 2'!$B$38*100</f>
        <v>0</v>
      </c>
      <c r="H37" s="211">
        <f>'table 1 &amp; 2'!G38/'table 1 &amp; 2'!$B$38*100</f>
        <v>0</v>
      </c>
      <c r="I37" s="211">
        <f>'table 1 &amp; 2'!H38/'table 1 &amp; 2'!$B$38*100</f>
        <v>0</v>
      </c>
    </row>
    <row r="38" spans="2:9" x14ac:dyDescent="0.2">
      <c r="B38" s="52" t="s">
        <v>60</v>
      </c>
      <c r="C38" s="217">
        <f>'table 1 &amp; 2'!B39/'table 1 &amp; 2'!$B$39*100</f>
        <v>100</v>
      </c>
      <c r="D38" s="218">
        <f>'table 1 &amp; 2'!C39/'table 1 &amp; 2'!$B$39*100</f>
        <v>39.055962966018107</v>
      </c>
      <c r="E38" s="217">
        <f>'table 1 &amp; 2'!D39/'table 1 &amp; 2'!$B$39*100</f>
        <v>60.944037033981893</v>
      </c>
      <c r="F38" s="217">
        <f>'table 1 &amp; 2'!E39/'table 1 &amp; 2'!$B$39*100</f>
        <v>100</v>
      </c>
      <c r="G38" s="218">
        <f>'table 1 &amp; 2'!F39/'table 1 &amp; 2'!$B$39*100</f>
        <v>0</v>
      </c>
      <c r="H38" s="217">
        <f>'table 1 &amp; 2'!G39/'table 1 &amp; 2'!$B$39*100</f>
        <v>0</v>
      </c>
      <c r="I38" s="217">
        <f>'table 1 &amp; 2'!H39/'table 1 &amp; 2'!$B$39*100</f>
        <v>0</v>
      </c>
    </row>
    <row r="39" spans="2:9" x14ac:dyDescent="0.2">
      <c r="B39" t="s">
        <v>61</v>
      </c>
      <c r="C39" s="211">
        <f>'table 1 &amp; 2'!B40/'table 1 &amp; 2'!$B$40*100</f>
        <v>100</v>
      </c>
      <c r="D39" s="214">
        <f>'table 1 &amp; 2'!C40/'table 1 &amp; 2'!$B$40*100</f>
        <v>22.734427000081748</v>
      </c>
      <c r="E39" s="211">
        <f>'table 1 &amp; 2'!D40/'table 1 &amp; 2'!$B$40*100</f>
        <v>73.93832715109977</v>
      </c>
      <c r="F39" s="211">
        <f>'table 1 &amp; 2'!E40/'table 1 &amp; 2'!$B$40*100</f>
        <v>96.672754151181522</v>
      </c>
      <c r="G39" s="214">
        <f>'table 1 &amp; 2'!F40/'table 1 &amp; 2'!$B$40*100</f>
        <v>2.7251692165176147</v>
      </c>
      <c r="H39" s="211">
        <f>'table 1 &amp; 2'!G40/'table 1 &amp; 2'!$B$40*100</f>
        <v>0.60207663230086195</v>
      </c>
      <c r="I39" s="211">
        <f>'table 1 &amp; 2'!H40/'table 1 &amp; 2'!$B$40*100</f>
        <v>3.3272458488184768</v>
      </c>
    </row>
    <row r="40" spans="2:9" x14ac:dyDescent="0.2">
      <c r="B40" s="52" t="s">
        <v>62</v>
      </c>
      <c r="C40" s="217">
        <f>'table 1 &amp; 2'!B41/'table 1 &amp; 2'!$B$41*100</f>
        <v>100</v>
      </c>
      <c r="D40" s="218">
        <f>'table 1 &amp; 2'!C41/'table 1 &amp; 2'!$B$41*100</f>
        <v>68.205273345796499</v>
      </c>
      <c r="E40" s="217">
        <f>'table 1 &amp; 2'!D41/'table 1 &amp; 2'!$B$41*100</f>
        <v>31.794726654203494</v>
      </c>
      <c r="F40" s="408">
        <f>'table 1 &amp; 2'!E41/'table 1 &amp; 2'!$B$41*100</f>
        <v>100</v>
      </c>
      <c r="G40" s="217">
        <f>'table 1 &amp; 2'!F41/'table 1 &amp; 2'!$B$41*100</f>
        <v>0</v>
      </c>
      <c r="H40" s="217">
        <f>'table 1 &amp; 2'!G41/'table 1 &amp; 2'!$B$41*100</f>
        <v>0</v>
      </c>
      <c r="I40" s="217">
        <f>'table 1 &amp; 2'!H41/'table 1 &amp; 2'!$B$41*100</f>
        <v>0</v>
      </c>
    </row>
    <row r="41" spans="2:9" x14ac:dyDescent="0.2">
      <c r="B41" s="112" t="s">
        <v>401</v>
      </c>
      <c r="C41" s="212">
        <f>'table 1 &amp; 2'!B42/'table 1 &amp; 2'!$B$42*100</f>
        <v>100</v>
      </c>
      <c r="D41" s="215">
        <f>'table 1 &amp; 2'!C42/'table 1 &amp; 2'!$B$42*100</f>
        <v>45.366981292574202</v>
      </c>
      <c r="E41" s="212">
        <f>'table 1 &amp; 2'!D42/'table 1 &amp; 2'!$B$42*100</f>
        <v>23.88437579494995</v>
      </c>
      <c r="F41" s="212">
        <f>'table 1 &amp; 2'!E42/'table 1 &amp; 2'!$B$42*100</f>
        <v>69.251357087524141</v>
      </c>
      <c r="G41" s="215">
        <f>'table 1 &amp; 2'!F42/'table 1 &amp; 2'!$B$42*100</f>
        <v>25.013273246683944</v>
      </c>
      <c r="H41" s="212">
        <f>'table 1 &amp; 2'!G42/'table 1 &amp; 2'!$B$42*100</f>
        <v>5.7353696657919144</v>
      </c>
      <c r="I41" s="212">
        <f>'table 1 &amp; 2'!H42/'table 1 &amp; 2'!$B$42*100</f>
        <v>30.748642912475855</v>
      </c>
    </row>
    <row r="42" spans="2:9" x14ac:dyDescent="0.2">
      <c r="B42" t="s">
        <v>402</v>
      </c>
    </row>
    <row r="44" spans="2:9" x14ac:dyDescent="0.2">
      <c r="B44" s="7" t="s">
        <v>499</v>
      </c>
      <c r="D44" s="216"/>
      <c r="H44" s="7" t="str">
        <f>F2</f>
        <v>2025 Tax Year</v>
      </c>
    </row>
    <row r="45" spans="2:9" x14ac:dyDescent="0.2">
      <c r="B45" s="7" t="s">
        <v>400</v>
      </c>
    </row>
    <row r="46" spans="2:9" x14ac:dyDescent="0.2">
      <c r="D46" s="117"/>
      <c r="E46" s="46" t="s">
        <v>5</v>
      </c>
      <c r="G46" s="117" t="s">
        <v>335</v>
      </c>
    </row>
    <row r="47" spans="2:9" x14ac:dyDescent="0.2">
      <c r="B47" s="112" t="s">
        <v>27</v>
      </c>
      <c r="C47" s="210" t="s">
        <v>8</v>
      </c>
      <c r="D47" s="213" t="s">
        <v>9</v>
      </c>
      <c r="E47" s="120" t="s">
        <v>66</v>
      </c>
      <c r="F47" s="120" t="s">
        <v>29</v>
      </c>
      <c r="G47" s="213" t="s">
        <v>30</v>
      </c>
      <c r="H47" s="120" t="s">
        <v>10</v>
      </c>
      <c r="I47" s="120" t="s">
        <v>29</v>
      </c>
    </row>
    <row r="48" spans="2:9" x14ac:dyDescent="0.2">
      <c r="B48" s="52" t="s">
        <v>31</v>
      </c>
      <c r="C48" s="217">
        <f>'table 1 &amp; 2'!B51/'table 1 &amp; 2'!$B$51*100</f>
        <v>100</v>
      </c>
      <c r="D48" s="218">
        <f>'table 1 &amp; 2'!C51/'table 1 &amp; 2'!$B$51*100</f>
        <v>75.576498347762353</v>
      </c>
      <c r="E48" s="217">
        <f>'table 1 &amp; 2'!D51/'table 1 &amp; 2'!$B$51*100</f>
        <v>24.423501652237643</v>
      </c>
      <c r="F48" s="217">
        <f>'table 1 &amp; 2'!E51/'table 1 &amp; 2'!$B$51*100</f>
        <v>100</v>
      </c>
      <c r="G48" s="218">
        <f>'table 1 &amp; 2'!F51/'table 1 &amp; 2'!$B$51*100</f>
        <v>0</v>
      </c>
      <c r="H48" s="217">
        <f>'table 1 &amp; 2'!G51/'table 1 &amp; 2'!$B$51*100</f>
        <v>0</v>
      </c>
      <c r="I48" s="217">
        <f>'table 1 &amp; 2'!H51/'table 1 &amp; 2'!$B$51*100</f>
        <v>0</v>
      </c>
    </row>
    <row r="49" spans="2:12" x14ac:dyDescent="0.2">
      <c r="B49" t="s">
        <v>32</v>
      </c>
      <c r="C49" s="211">
        <f>'table 1 &amp; 2'!B52/'table 1 &amp; 2'!$B$52*100</f>
        <v>100</v>
      </c>
      <c r="D49" s="214">
        <f>'table 1 &amp; 2'!C52/'table 1 &amp; 2'!$B$52*100</f>
        <v>41.766509915909324</v>
      </c>
      <c r="E49" s="211">
        <f>'table 1 &amp; 2'!D52/'table 1 &amp; 2'!$B$52*100</f>
        <v>58.233490084090676</v>
      </c>
      <c r="F49" s="211">
        <f>'table 1 &amp; 2'!E52/'table 1 &amp; 2'!$B$52*100</f>
        <v>100</v>
      </c>
      <c r="G49" s="214">
        <f>'table 1 &amp; 2'!F52/'table 1 &amp; 2'!$B$52*100</f>
        <v>0</v>
      </c>
      <c r="H49" s="211">
        <f>'table 1 &amp; 2'!G52/'table 1 &amp; 2'!$B$52*100</f>
        <v>0</v>
      </c>
      <c r="I49" s="211">
        <f>'table 1 &amp; 2'!H52/'table 1 &amp; 2'!$B$52*100</f>
        <v>0</v>
      </c>
    </row>
    <row r="50" spans="2:12" x14ac:dyDescent="0.2">
      <c r="B50" s="52" t="s">
        <v>33</v>
      </c>
      <c r="C50" s="217">
        <f>'table 1 &amp; 2'!B53/'table 1 &amp; 2'!$B$53*100</f>
        <v>100</v>
      </c>
      <c r="D50" s="218">
        <f>'table 1 &amp; 2'!C53/'table 1 &amp; 2'!$B$53*100</f>
        <v>53.266497783054042</v>
      </c>
      <c r="E50" s="217">
        <f>'table 1 &amp; 2'!D53/'table 1 &amp; 2'!$B$53*100</f>
        <v>42.088642033916038</v>
      </c>
      <c r="F50" s="217">
        <f>'table 1 &amp; 2'!E53/'table 1 &amp; 2'!$B$53*100</f>
        <v>95.35513981697008</v>
      </c>
      <c r="G50" s="218">
        <f>'table 1 &amp; 2'!F53/'table 1 &amp; 2'!$B$53*100</f>
        <v>3.7788248906581772</v>
      </c>
      <c r="H50" s="217">
        <f>'table 1 &amp; 2'!G53/'table 1 &amp; 2'!$B$53*100</f>
        <v>0.86603529237175192</v>
      </c>
      <c r="I50" s="217">
        <f>'table 1 &amp; 2'!H53/'table 1 &amp; 2'!$B$53*100</f>
        <v>4.6448601830299285</v>
      </c>
    </row>
    <row r="51" spans="2:12" x14ac:dyDescent="0.2">
      <c r="B51" t="s">
        <v>34</v>
      </c>
      <c r="C51" s="211">
        <f>'table 1 &amp; 2'!B54/'table 1 &amp; 2'!$B$54*100</f>
        <v>100</v>
      </c>
      <c r="D51" s="214">
        <f>'table 1 &amp; 2'!C54/'table 1 &amp; 2'!$B$54*100</f>
        <v>42.240968707288857</v>
      </c>
      <c r="E51" s="211">
        <f>'table 1 &amp; 2'!D54/'table 1 &amp; 2'!$B$54*100</f>
        <v>57.759031292711136</v>
      </c>
      <c r="F51" s="211">
        <f>'table 1 &amp; 2'!E54/'table 1 &amp; 2'!$B$54*100</f>
        <v>100</v>
      </c>
      <c r="G51" s="214">
        <f>'table 1 &amp; 2'!F54/'table 1 &amp; 2'!$B$54*100</f>
        <v>0</v>
      </c>
      <c r="H51" s="211">
        <f>'table 1 &amp; 2'!G54/'table 1 &amp; 2'!$B$54*100</f>
        <v>0</v>
      </c>
      <c r="I51" s="211">
        <f>'table 1 &amp; 2'!H54/'table 1 &amp; 2'!$B$54*100</f>
        <v>0</v>
      </c>
    </row>
    <row r="52" spans="2:12" x14ac:dyDescent="0.2">
      <c r="B52" s="52" t="s">
        <v>35</v>
      </c>
      <c r="C52" s="217">
        <f>'table 1 &amp; 2'!B55/'table 1 &amp; 2'!$B$55*100</f>
        <v>100</v>
      </c>
      <c r="D52" s="218">
        <f>'table 1 &amp; 2'!C55/'table 1 &amp; 2'!$B$55*100</f>
        <v>67.554892597480773</v>
      </c>
      <c r="E52" s="217">
        <f>'table 1 &amp; 2'!D55/'table 1 &amp; 2'!$B$55*100</f>
        <v>30.959404859671857</v>
      </c>
      <c r="F52" s="217">
        <f>'table 1 &amp; 2'!E55/'table 1 &amp; 2'!$B$55*100</f>
        <v>98.514297457152637</v>
      </c>
      <c r="G52" s="218">
        <f>'table 1 &amp; 2'!F55/'table 1 &amp; 2'!$B$55*100</f>
        <v>1.2257949659855374</v>
      </c>
      <c r="H52" s="217">
        <f>'table 1 &amp; 2'!G55/'table 1 &amp; 2'!$B$55*100</f>
        <v>0.25990757686182953</v>
      </c>
      <c r="I52" s="217">
        <f>'table 1 &amp; 2'!H55/'table 1 &amp; 2'!$B$55*100</f>
        <v>1.4857025428473671</v>
      </c>
    </row>
    <row r="53" spans="2:12" x14ac:dyDescent="0.2">
      <c r="B53" t="s">
        <v>36</v>
      </c>
      <c r="C53" s="211">
        <f>'table 1 &amp; 2'!B56/'table 1 &amp; 2'!$B$56*100</f>
        <v>100</v>
      </c>
      <c r="D53" s="214">
        <f>'table 1 &amp; 2'!C56/'table 1 &amp; 2'!$B$56*100</f>
        <v>64.794574232823805</v>
      </c>
      <c r="E53" s="211">
        <f>'table 1 &amp; 2'!D56/'table 1 &amp; 2'!$B$56*100</f>
        <v>35.205425767176195</v>
      </c>
      <c r="F53" s="211">
        <f>'table 1 &amp; 2'!E56/'table 1 &amp; 2'!$B$56*100</f>
        <v>100</v>
      </c>
      <c r="G53" s="214">
        <f>'table 1 &amp; 2'!F56/'table 1 &amp; 2'!$B$56*100</f>
        <v>0</v>
      </c>
      <c r="H53" s="211">
        <f>'table 1 &amp; 2'!G56/'table 1 &amp; 2'!$B$56*100</f>
        <v>0</v>
      </c>
      <c r="I53" s="211">
        <f>'table 1 &amp; 2'!H56/'table 1 &amp; 2'!$B$56*100</f>
        <v>0</v>
      </c>
    </row>
    <row r="54" spans="2:12" x14ac:dyDescent="0.2">
      <c r="B54" s="52" t="s">
        <v>67</v>
      </c>
      <c r="C54" s="217">
        <f>'table 1 &amp; 2'!B57/'table 1 &amp; 2'!$B$57*100</f>
        <v>100</v>
      </c>
      <c r="D54" s="218">
        <f>'table 1 &amp; 2'!C57/'table 1 &amp; 2'!$B$57*100</f>
        <v>19.863391555639804</v>
      </c>
      <c r="E54" s="217">
        <f>'table 1 &amp; 2'!D57/'table 1 &amp; 2'!$B$57*100</f>
        <v>80.136608444360206</v>
      </c>
      <c r="F54" s="217">
        <f>'table 1 &amp; 2'!E57/'table 1 &amp; 2'!$B$57*100</f>
        <v>100</v>
      </c>
      <c r="G54" s="218">
        <f>'table 1 &amp; 2'!F57/'table 1 &amp; 2'!$B$57*100</f>
        <v>0</v>
      </c>
      <c r="H54" s="217">
        <f>'table 1 &amp; 2'!G57/'table 1 &amp; 2'!$B$57*100</f>
        <v>0</v>
      </c>
      <c r="I54" s="217">
        <f>'table 1 &amp; 2'!H57/'table 1 &amp; 2'!$B$57*100</f>
        <v>0</v>
      </c>
    </row>
    <row r="55" spans="2:12" x14ac:dyDescent="0.2">
      <c r="B55" t="s">
        <v>37</v>
      </c>
      <c r="C55" s="211">
        <f>'table 1 &amp; 2'!B58/'table 1 &amp; 2'!$B$58*100</f>
        <v>100</v>
      </c>
      <c r="D55" s="214">
        <f>'table 1 &amp; 2'!C58/'table 1 &amp; 2'!$B$58*100</f>
        <v>71.597175734346195</v>
      </c>
      <c r="E55" s="211">
        <f>'table 1 &amp; 2'!D58/'table 1 &amp; 2'!$B$58*100</f>
        <v>28.402824265653809</v>
      </c>
      <c r="F55" s="211">
        <f>'table 1 &amp; 2'!E58/'table 1 &amp; 2'!$B$58*100</f>
        <v>100</v>
      </c>
      <c r="G55" s="214">
        <f>'table 1 &amp; 2'!F58/'table 1 &amp; 2'!$B$58*100</f>
        <v>0</v>
      </c>
      <c r="H55" s="211">
        <f>'table 1 &amp; 2'!G58/'table 1 &amp; 2'!$B$58*100</f>
        <v>0</v>
      </c>
      <c r="I55" s="211">
        <f>'table 1 &amp; 2'!H58/'table 1 &amp; 2'!$B$58*100</f>
        <v>0</v>
      </c>
    </row>
    <row r="56" spans="2:12" x14ac:dyDescent="0.2">
      <c r="B56" s="52" t="s">
        <v>38</v>
      </c>
      <c r="C56" s="217">
        <f>'table 1 &amp; 2'!B59/'table 1 &amp; 2'!$B$59*100</f>
        <v>100</v>
      </c>
      <c r="D56" s="218">
        <f>'table 1 &amp; 2'!C59/'table 1 &amp; 2'!$B$59*100</f>
        <v>6.1879508875979985</v>
      </c>
      <c r="E56" s="217">
        <f>'table 1 &amp; 2'!D59/'table 1 &amp; 2'!$B$59*100</f>
        <v>18.463253894457097</v>
      </c>
      <c r="F56" s="217">
        <f>'table 1 &amp; 2'!E59/'table 1 &amp; 2'!$B$59*100</f>
        <v>24.651204782055093</v>
      </c>
      <c r="G56" s="218">
        <f>'table 1 &amp; 2'!F59/'table 1 &amp; 2'!$B$59*100</f>
        <v>61.362571936534117</v>
      </c>
      <c r="H56" s="217">
        <f>'table 1 &amp; 2'!G59/'table 1 &amp; 2'!$B$59*100</f>
        <v>13.986223281410792</v>
      </c>
      <c r="I56" s="217">
        <f>'table 1 &amp; 2'!H59/'table 1 &amp; 2'!$B$59*100</f>
        <v>75.348795217944911</v>
      </c>
      <c r="L56" s="211"/>
    </row>
    <row r="57" spans="2:12" x14ac:dyDescent="0.2">
      <c r="B57" t="s">
        <v>39</v>
      </c>
      <c r="C57" s="211">
        <f>'table 1 &amp; 2'!B60/'table 1 &amp; 2'!$B$60*100</f>
        <v>100</v>
      </c>
      <c r="D57" s="214">
        <f>'table 1 &amp; 2'!C60/'table 1 &amp; 2'!$B$60*100</f>
        <v>51.211390194401517</v>
      </c>
      <c r="E57" s="211">
        <f>'table 1 &amp; 2'!D60/'table 1 &amp; 2'!$B$60*100</f>
        <v>30.626399062660102</v>
      </c>
      <c r="F57" s="211">
        <f>'table 1 &amp; 2'!E60/'table 1 &amp; 2'!$B$60*100</f>
        <v>81.837789257061615</v>
      </c>
      <c r="G57" s="214">
        <f>'table 1 &amp; 2'!F60/'table 1 &amp; 2'!$B$60*100</f>
        <v>18.16221074293837</v>
      </c>
      <c r="H57" s="211">
        <f>'table 1 &amp; 2'!G60/'table 1 &amp; 2'!$B$60*100</f>
        <v>0</v>
      </c>
      <c r="I57" s="211">
        <f>'table 1 &amp; 2'!H60/'table 1 &amp; 2'!$B$60*100</f>
        <v>18.16221074293837</v>
      </c>
    </row>
    <row r="58" spans="2:12" x14ac:dyDescent="0.2">
      <c r="B58" s="52" t="s">
        <v>40</v>
      </c>
      <c r="C58" s="217">
        <f>'table 1 &amp; 2'!B61/'table 1 &amp; 2'!$B$61*100</f>
        <v>100</v>
      </c>
      <c r="D58" s="218">
        <f>'table 1 &amp; 2'!C61/'table 1 &amp; 2'!$B$61*100</f>
        <v>21.789397300990927</v>
      </c>
      <c r="E58" s="217">
        <f>'table 1 &amp; 2'!D61/'table 1 &amp; 2'!$B$61*100</f>
        <v>78.210602699009073</v>
      </c>
      <c r="F58" s="217">
        <f>'table 1 &amp; 2'!E61/'table 1 &amp; 2'!$B$61*100</f>
        <v>100</v>
      </c>
      <c r="G58" s="218">
        <f>'table 1 &amp; 2'!F61/'table 1 &amp; 2'!$B$61*100</f>
        <v>0</v>
      </c>
      <c r="H58" s="217">
        <f>'table 1 &amp; 2'!G61/'table 1 &amp; 2'!$B$61*100</f>
        <v>0</v>
      </c>
      <c r="I58" s="217">
        <f>'table 1 &amp; 2'!H61/'table 1 &amp; 2'!$B$61*100</f>
        <v>0</v>
      </c>
    </row>
    <row r="59" spans="2:12" x14ac:dyDescent="0.2">
      <c r="B59" t="s">
        <v>41</v>
      </c>
      <c r="C59" s="211">
        <f>'table 1 &amp; 2'!B62/'table 1 &amp; 2'!$B$62*100</f>
        <v>100</v>
      </c>
      <c r="D59" s="214">
        <f>'table 1 &amp; 2'!C62/'table 1 &amp; 2'!$B$62*100</f>
        <v>7.2033233575061955</v>
      </c>
      <c r="E59" s="211">
        <f>'table 1 &amp; 2'!D62/'table 1 &amp; 2'!$B$62*100</f>
        <v>73.0544892601595</v>
      </c>
      <c r="F59" s="211">
        <f>'table 1 &amp; 2'!E62/'table 1 &amp; 2'!$B$62*100</f>
        <v>80.257812617665692</v>
      </c>
      <c r="G59" s="214">
        <f>'table 1 &amp; 2'!F62/'table 1 &amp; 2'!$B$62*100</f>
        <v>16.265638046404714</v>
      </c>
      <c r="H59" s="211">
        <f>'table 1 &amp; 2'!G62/'table 1 &amp; 2'!$B$62*100</f>
        <v>3.4765493359295898</v>
      </c>
      <c r="I59" s="211">
        <f>'table 1 &amp; 2'!H62/'table 1 &amp; 2'!$B$62*100</f>
        <v>19.742187382334304</v>
      </c>
    </row>
    <row r="60" spans="2:12" x14ac:dyDescent="0.2">
      <c r="B60" s="52" t="s">
        <v>42</v>
      </c>
      <c r="C60" s="217">
        <f>'table 1 &amp; 2'!B63/'table 1 &amp; 2'!$B$63*100</f>
        <v>100</v>
      </c>
      <c r="D60" s="218">
        <f>'table 1 &amp; 2'!C63/'table 1 &amp; 2'!$B$63*100</f>
        <v>14.977532830735754</v>
      </c>
      <c r="E60" s="217">
        <f>'table 1 &amp; 2'!D63/'table 1 &amp; 2'!$B$63*100</f>
        <v>85.022467169264246</v>
      </c>
      <c r="F60" s="217">
        <f>'table 1 &amp; 2'!E63/'table 1 &amp; 2'!$B$63*100</f>
        <v>100</v>
      </c>
      <c r="G60" s="218">
        <f>'table 1 &amp; 2'!F63/'table 1 &amp; 2'!$B$63*100</f>
        <v>0</v>
      </c>
      <c r="H60" s="217">
        <f>'table 1 &amp; 2'!G63/'table 1 &amp; 2'!$B$63*100</f>
        <v>0</v>
      </c>
      <c r="I60" s="217">
        <f>'table 1 &amp; 2'!H63/'table 1 &amp; 2'!$B$63*100</f>
        <v>0</v>
      </c>
    </row>
    <row r="61" spans="2:12" x14ac:dyDescent="0.2">
      <c r="B61" t="s">
        <v>43</v>
      </c>
      <c r="C61" s="211">
        <f>'table 1 &amp; 2'!B64/'table 1 &amp; 2'!$B$64*100</f>
        <v>100</v>
      </c>
      <c r="D61" s="214">
        <f>'table 1 &amp; 2'!C64/'table 1 &amp; 2'!$B$64*100</f>
        <v>4.5402132812032789</v>
      </c>
      <c r="E61" s="211">
        <f>'table 1 &amp; 2'!D64/'table 1 &amp; 2'!$B$64*100</f>
        <v>12.371046004740702</v>
      </c>
      <c r="F61" s="211">
        <f>'table 1 &amp; 2'!E64/'table 1 &amp; 2'!$B$64*100</f>
        <v>16.911259285943981</v>
      </c>
      <c r="G61" s="214">
        <f>'table 1 &amp; 2'!F64/'table 1 &amp; 2'!$B$64*100</f>
        <v>67.406363455483614</v>
      </c>
      <c r="H61" s="211">
        <f>'table 1 &amp; 2'!G64/'table 1 &amp; 2'!$B$64*100</f>
        <v>15.682377258572389</v>
      </c>
      <c r="I61" s="211">
        <f>'table 1 &amp; 2'!H64/'table 1 &amp; 2'!$B$64*100</f>
        <v>83.088740714056001</v>
      </c>
    </row>
    <row r="62" spans="2:12" x14ac:dyDescent="0.2">
      <c r="B62" s="52" t="s">
        <v>44</v>
      </c>
      <c r="C62" s="217">
        <f>'table 1 &amp; 2'!B65/'table 1 &amp; 2'!$B$65*100</f>
        <v>100</v>
      </c>
      <c r="D62" s="218">
        <f>'table 1 &amp; 2'!C65/'table 1 &amp; 2'!$B$65*100</f>
        <v>65.483382366665708</v>
      </c>
      <c r="E62" s="217">
        <f>'table 1 &amp; 2'!D65/'table 1 &amp; 2'!$B$65*100</f>
        <v>34.516617633334278</v>
      </c>
      <c r="F62" s="217">
        <f>'table 1 &amp; 2'!E65/'table 1 &amp; 2'!$B$65*100</f>
        <v>100</v>
      </c>
      <c r="G62" s="218">
        <f>'table 1 &amp; 2'!F65/'table 1 &amp; 2'!$B$65*100</f>
        <v>0</v>
      </c>
      <c r="H62" s="217">
        <f>'table 1 &amp; 2'!G65/'table 1 &amp; 2'!$B$65*100</f>
        <v>0</v>
      </c>
      <c r="I62" s="217">
        <f>'table 1 &amp; 2'!H65/'table 1 &amp; 2'!$B$65*100</f>
        <v>0</v>
      </c>
    </row>
    <row r="63" spans="2:12" x14ac:dyDescent="0.2">
      <c r="B63" t="s">
        <v>45</v>
      </c>
      <c r="C63" s="211">
        <f>'table 1 &amp; 2'!B66/'table 1 &amp; 2'!$B$66*100</f>
        <v>100</v>
      </c>
      <c r="D63" s="214">
        <f>'table 1 &amp; 2'!C66/'table 1 &amp; 2'!$B$66*100</f>
        <v>86.23708244062675</v>
      </c>
      <c r="E63" s="211">
        <f>'table 1 &amp; 2'!D66/'table 1 &amp; 2'!$B$66*100</f>
        <v>13.762917559373259</v>
      </c>
      <c r="F63" s="211">
        <f>'table 1 &amp; 2'!E66/'table 1 &amp; 2'!$B$66*100</f>
        <v>100</v>
      </c>
      <c r="G63" s="214">
        <f>'table 1 &amp; 2'!F66/'table 1 &amp; 2'!$B$66*100</f>
        <v>0</v>
      </c>
      <c r="H63" s="211">
        <f>'table 1 &amp; 2'!G66/'table 1 &amp; 2'!$B$66*100</f>
        <v>0</v>
      </c>
      <c r="I63" s="211">
        <f>'table 1 &amp; 2'!H66/'table 1 &amp; 2'!$B$66*100</f>
        <v>0</v>
      </c>
    </row>
    <row r="64" spans="2:12" x14ac:dyDescent="0.2">
      <c r="B64" s="52" t="s">
        <v>46</v>
      </c>
      <c r="C64" s="217">
        <f>'table 1 &amp; 2'!B67/'table 1 &amp; 2'!$B$67*100</f>
        <v>100</v>
      </c>
      <c r="D64" s="218">
        <f>'table 1 &amp; 2'!C67/'table 1 &amp; 2'!$B$67*100</f>
        <v>42.984243055015611</v>
      </c>
      <c r="E64" s="217">
        <f>'table 1 &amp; 2'!D67/'table 1 &amp; 2'!$B$67*100</f>
        <v>57.015756944984375</v>
      </c>
      <c r="F64" s="217">
        <f>'table 1 &amp; 2'!E67/'table 1 &amp; 2'!$B$67*100</f>
        <v>100</v>
      </c>
      <c r="G64" s="218">
        <f>'table 1 &amp; 2'!F67/'table 1 &amp; 2'!$B$67*100</f>
        <v>0</v>
      </c>
      <c r="H64" s="217">
        <f>'table 1 &amp; 2'!G67/'table 1 &amp; 2'!$B$67*100</f>
        <v>0</v>
      </c>
      <c r="I64" s="217">
        <f>'table 1 &amp; 2'!H67/'table 1 &amp; 2'!$B$67*100</f>
        <v>0</v>
      </c>
    </row>
    <row r="65" spans="2:9" x14ac:dyDescent="0.2">
      <c r="B65" t="s">
        <v>47</v>
      </c>
      <c r="C65" s="211">
        <f>'table 1 &amp; 2'!B68/'table 1 &amp; 2'!$B$68*100</f>
        <v>100</v>
      </c>
      <c r="D65" s="214">
        <f>'table 1 &amp; 2'!C68/'table 1 &amp; 2'!$B$68*100</f>
        <v>40.448029414999183</v>
      </c>
      <c r="E65" s="211">
        <f>'table 1 &amp; 2'!D68/'table 1 &amp; 2'!$B$68*100</f>
        <v>59.54780448190472</v>
      </c>
      <c r="F65" s="211">
        <f>'table 1 &amp; 2'!E68/'table 1 &amp; 2'!$B$68*100</f>
        <v>99.995833896903889</v>
      </c>
      <c r="G65" s="214">
        <f>'table 1 &amp; 2'!F68/'table 1 &amp; 2'!$B$68*100</f>
        <v>3.3745538225297416E-3</v>
      </c>
      <c r="H65" s="211">
        <f>'table 1 &amp; 2'!G68/'table 1 &amp; 2'!$B$68*100</f>
        <v>7.9154927356930057E-4</v>
      </c>
      <c r="I65" s="211">
        <f>'table 1 &amp; 2'!H68/'table 1 &amp; 2'!$B$68*100</f>
        <v>4.1661030960990428E-3</v>
      </c>
    </row>
    <row r="66" spans="2:9" x14ac:dyDescent="0.2">
      <c r="B66" s="52" t="s">
        <v>48</v>
      </c>
      <c r="C66" s="217">
        <f>'table 1 &amp; 2'!B69/'table 1 &amp; 2'!$B$69*100</f>
        <v>100</v>
      </c>
      <c r="D66" s="218">
        <f>'table 1 &amp; 2'!C69/'table 1 &amp; 2'!$B$69*100</f>
        <v>50.462188769074736</v>
      </c>
      <c r="E66" s="217">
        <f>'table 1 &amp; 2'!D69/'table 1 &amp; 2'!$B$69*100</f>
        <v>49.537811230925257</v>
      </c>
      <c r="F66" s="217">
        <f>'table 1 &amp; 2'!E69/'table 1 &amp; 2'!$B$69*100</f>
        <v>100</v>
      </c>
      <c r="G66" s="218">
        <f>'table 1 &amp; 2'!F69/'table 1 &amp; 2'!$B$69*100</f>
        <v>0</v>
      </c>
      <c r="H66" s="217">
        <f>'table 1 &amp; 2'!G69/'table 1 &amp; 2'!$B$69*100</f>
        <v>0</v>
      </c>
      <c r="I66" s="217">
        <f>'table 1 &amp; 2'!H69/'table 1 &amp; 2'!$B$69*100</f>
        <v>0</v>
      </c>
    </row>
    <row r="67" spans="2:9" x14ac:dyDescent="0.2">
      <c r="B67" t="s">
        <v>49</v>
      </c>
      <c r="C67" s="211">
        <f>'table 1 &amp; 2'!B70/'table 1 &amp; 2'!$B$70*100</f>
        <v>100</v>
      </c>
      <c r="D67" s="214">
        <f>'table 1 &amp; 2'!C70/'table 1 &amp; 2'!$B$70*100</f>
        <v>63.36890706858955</v>
      </c>
      <c r="E67" s="211">
        <f>'table 1 &amp; 2'!D70/'table 1 &amp; 2'!$B$70*100</f>
        <v>36.63109293141045</v>
      </c>
      <c r="F67" s="211">
        <f>'table 1 &amp; 2'!E70/'table 1 &amp; 2'!$B$70*100</f>
        <v>100</v>
      </c>
      <c r="G67" s="214">
        <f>'table 1 &amp; 2'!F70/'table 1 &amp; 2'!$B$70*100</f>
        <v>0</v>
      </c>
      <c r="H67" s="211">
        <f>'table 1 &amp; 2'!G70/'table 1 &amp; 2'!$B$70*100</f>
        <v>0</v>
      </c>
      <c r="I67" s="211">
        <f>'table 1 &amp; 2'!H70/'table 1 &amp; 2'!$B$70*100</f>
        <v>0</v>
      </c>
    </row>
    <row r="68" spans="2:9" x14ac:dyDescent="0.2">
      <c r="B68" s="52" t="s">
        <v>50</v>
      </c>
      <c r="C68" s="217">
        <f>'table 1 &amp; 2'!B71/'table 1 &amp; 2'!$B$71*100</f>
        <v>100</v>
      </c>
      <c r="D68" s="218">
        <f>'table 1 &amp; 2'!C71/'table 1 &amp; 2'!$B$71*100</f>
        <v>36.889151477428229</v>
      </c>
      <c r="E68" s="217">
        <f>'table 1 &amp; 2'!D71/'table 1 &amp; 2'!$B$71*100</f>
        <v>62.848586231056622</v>
      </c>
      <c r="F68" s="217">
        <f>'table 1 &amp; 2'!E71/'table 1 &amp; 2'!$B$71*100</f>
        <v>99.737737708484858</v>
      </c>
      <c r="G68" s="218">
        <f>'table 1 &amp; 2'!F71/'table 1 &amp; 2'!$B$71*100</f>
        <v>0.2123428039564344</v>
      </c>
      <c r="H68" s="217">
        <f>'table 1 &amp; 2'!G71/'table 1 &amp; 2'!$B$71*100</f>
        <v>4.9919487558708953E-2</v>
      </c>
      <c r="I68" s="217">
        <f>'table 1 &amp; 2'!H71/'table 1 &amp; 2'!$B$71*100</f>
        <v>0.26226229151514335</v>
      </c>
    </row>
    <row r="69" spans="2:9" x14ac:dyDescent="0.2">
      <c r="B69" t="s">
        <v>51</v>
      </c>
      <c r="C69" s="211">
        <f>'table 1 &amp; 2'!B72/'table 1 &amp; 2'!$B$72*100</f>
        <v>100</v>
      </c>
      <c r="D69" s="214">
        <f>'table 1 &amp; 2'!C72/'table 1 &amp; 2'!$B$72*100</f>
        <v>45.7667683316268</v>
      </c>
      <c r="E69" s="211">
        <f>'table 1 &amp; 2'!D72/'table 1 &amp; 2'!$B$72*100</f>
        <v>34.465046432970418</v>
      </c>
      <c r="F69" s="211">
        <f>'table 1 &amp; 2'!E72/'table 1 &amp; 2'!$B$72*100</f>
        <v>80.231814764597203</v>
      </c>
      <c r="G69" s="214">
        <f>'table 1 &amp; 2'!F72/'table 1 &amp; 2'!$B$72*100</f>
        <v>15.962408708221082</v>
      </c>
      <c r="H69" s="211">
        <f>'table 1 &amp; 2'!G72/'table 1 &amp; 2'!$B$72*100</f>
        <v>3.8057765271817061</v>
      </c>
      <c r="I69" s="211">
        <f>'table 1 &amp; 2'!H72/'table 1 &amp; 2'!$B$72*100</f>
        <v>19.768185235402786</v>
      </c>
    </row>
    <row r="70" spans="2:9" x14ac:dyDescent="0.2">
      <c r="B70" s="52" t="s">
        <v>52</v>
      </c>
      <c r="C70" s="217">
        <f>'table 1 &amp; 2'!B73/'table 1 &amp; 2'!$B$73*100</f>
        <v>100</v>
      </c>
      <c r="D70" s="218">
        <f>'table 1 &amp; 2'!C73/'table 1 &amp; 2'!$B$73*100</f>
        <v>34.461218469106093</v>
      </c>
      <c r="E70" s="217">
        <f>'table 1 &amp; 2'!D73/'table 1 &amp; 2'!$B$73*100</f>
        <v>63.476662001449633</v>
      </c>
      <c r="F70" s="217">
        <f>'table 1 &amp; 2'!E73/'table 1 &amp; 2'!$B$73*100</f>
        <v>97.937880470555712</v>
      </c>
      <c r="G70" s="218">
        <f>'table 1 &amp; 2'!F73/'table 1 &amp; 2'!$B$73*100</f>
        <v>1.6938836397697283</v>
      </c>
      <c r="H70" s="217">
        <f>'table 1 &amp; 2'!G73/'table 1 &amp; 2'!$B$73*100</f>
        <v>0.36823588967455745</v>
      </c>
      <c r="I70" s="217">
        <f>'table 1 &amp; 2'!H73/'table 1 &amp; 2'!$B$73*100</f>
        <v>2.0621195294442858</v>
      </c>
    </row>
    <row r="71" spans="2:9" x14ac:dyDescent="0.2">
      <c r="B71" t="s">
        <v>53</v>
      </c>
      <c r="C71" s="211">
        <f>'table 1 &amp; 2'!B74/'table 1 &amp; 2'!$B$74*100</f>
        <v>100</v>
      </c>
      <c r="D71" s="214">
        <f>'table 1 &amp; 2'!C74/'table 1 &amp; 2'!$B$74*100</f>
        <v>44.374944493320193</v>
      </c>
      <c r="E71" s="211">
        <f>'table 1 &amp; 2'!D74/'table 1 &amp; 2'!$B$74*100</f>
        <v>40.269031238593556</v>
      </c>
      <c r="F71" s="211">
        <f>'table 1 &amp; 2'!E74/'table 1 &amp; 2'!$B$74*100</f>
        <v>84.643975731913741</v>
      </c>
      <c r="G71" s="214">
        <f>'table 1 &amp; 2'!F74/'table 1 &amp; 2'!$B$74*100</f>
        <v>12.524345990701139</v>
      </c>
      <c r="H71" s="211">
        <f>'table 1 &amp; 2'!G74/'table 1 &amp; 2'!$B$74*100</f>
        <v>2.8316782773851137</v>
      </c>
      <c r="I71" s="211">
        <f>'table 1 &amp; 2'!H74/'table 1 &amp; 2'!$B$74*100</f>
        <v>15.356024268086252</v>
      </c>
    </row>
    <row r="72" spans="2:9" x14ac:dyDescent="0.2">
      <c r="B72" s="52" t="s">
        <v>54</v>
      </c>
      <c r="C72" s="217">
        <f>'table 1 &amp; 2'!B75/'table 1 &amp; 2'!$B$75*100</f>
        <v>100</v>
      </c>
      <c r="D72" s="218">
        <f>'table 1 &amp; 2'!C75/'table 1 &amp; 2'!$B$75*100</f>
        <v>60.40492183942817</v>
      </c>
      <c r="E72" s="217">
        <f>'table 1 &amp; 2'!D75/'table 1 &amp; 2'!$B$75*100</f>
        <v>39.59507816057183</v>
      </c>
      <c r="F72" s="217">
        <f>'table 1 &amp; 2'!E75/'table 1 &amp; 2'!$B$75*100</f>
        <v>100</v>
      </c>
      <c r="G72" s="218">
        <f>'table 1 &amp; 2'!F75/'table 1 &amp; 2'!$B$75*100</f>
        <v>0</v>
      </c>
      <c r="H72" s="217">
        <f>'table 1 &amp; 2'!G75/'table 1 &amp; 2'!$B$75*100</f>
        <v>0</v>
      </c>
      <c r="I72" s="217">
        <f>'table 1 &amp; 2'!H75/'table 1 &amp; 2'!$B$75*100</f>
        <v>0</v>
      </c>
    </row>
    <row r="73" spans="2:9" x14ac:dyDescent="0.2">
      <c r="B73" t="s">
        <v>55</v>
      </c>
      <c r="C73" s="211">
        <f>'table 1 &amp; 2'!B76/'table 1 &amp; 2'!$B$76*100</f>
        <v>100</v>
      </c>
      <c r="D73" s="214">
        <f>'table 1 &amp; 2'!C76/'table 1 &amp; 2'!$B$76*100</f>
        <v>74.449146752976674</v>
      </c>
      <c r="E73" s="211">
        <f>'table 1 &amp; 2'!D76/'table 1 &amp; 2'!$B$76*100</f>
        <v>24.058298904348952</v>
      </c>
      <c r="F73" s="211">
        <f>'table 1 &amp; 2'!E76/'table 1 &amp; 2'!$B$76*100</f>
        <v>98.507445657325619</v>
      </c>
      <c r="G73" s="214">
        <f>'table 1 &amp; 2'!F76/'table 1 &amp; 2'!$B$76*100</f>
        <v>1.2099254698246884</v>
      </c>
      <c r="H73" s="211">
        <f>'table 1 &amp; 2'!G76/'table 1 &amp; 2'!$B$76*100</f>
        <v>0.28262887284969124</v>
      </c>
      <c r="I73" s="211">
        <f>'table 1 &amp; 2'!H76/'table 1 &amp; 2'!$B$76*100</f>
        <v>1.4925543426743797</v>
      </c>
    </row>
    <row r="74" spans="2:9" x14ac:dyDescent="0.2">
      <c r="B74" s="52" t="s">
        <v>56</v>
      </c>
      <c r="C74" s="217">
        <f>'table 1 &amp; 2'!B77/'table 1 &amp; 2'!$B$77*100</f>
        <v>100</v>
      </c>
      <c r="D74" s="218">
        <f>'table 1 &amp; 2'!C77/'table 1 &amp; 2'!$B$77*100</f>
        <v>74.701294605301655</v>
      </c>
      <c r="E74" s="217">
        <f>'table 1 &amp; 2'!D77/'table 1 &amp; 2'!$B$77*100</f>
        <v>25.298705394698338</v>
      </c>
      <c r="F74" s="217">
        <f>'table 1 &amp; 2'!E77/'table 1 &amp; 2'!$B$77*100</f>
        <v>100</v>
      </c>
      <c r="G74" s="218">
        <f>'table 1 &amp; 2'!F77/'table 1 &amp; 2'!$B$77*100</f>
        <v>0</v>
      </c>
      <c r="H74" s="217">
        <f>'table 1 &amp; 2'!G77/'table 1 &amp; 2'!$B$77*100</f>
        <v>0</v>
      </c>
      <c r="I74" s="217">
        <f>'table 1 &amp; 2'!H77/'table 1 &amp; 2'!$B$77*100</f>
        <v>0</v>
      </c>
    </row>
    <row r="75" spans="2:9" x14ac:dyDescent="0.2">
      <c r="B75" t="s">
        <v>57</v>
      </c>
      <c r="C75" s="211">
        <f>'table 1 &amp; 2'!B78/'table 1 &amp; 2'!$B$78*100</f>
        <v>100</v>
      </c>
      <c r="D75" s="214">
        <f>'table 1 &amp; 2'!C78/'table 1 &amp; 2'!$B$78*100</f>
        <v>63.124118504660267</v>
      </c>
      <c r="E75" s="211">
        <f>'table 1 &amp; 2'!D78/'table 1 &amp; 2'!$B$78*100</f>
        <v>36.875881495339733</v>
      </c>
      <c r="F75" s="211">
        <f>'table 1 &amp; 2'!E78/'table 1 &amp; 2'!$B$78*100</f>
        <v>100</v>
      </c>
      <c r="G75" s="214">
        <f>'table 1 &amp; 2'!F78/'table 1 &amp; 2'!$B$78*100</f>
        <v>0</v>
      </c>
      <c r="H75" s="211">
        <f>'table 1 &amp; 2'!G78/'table 1 &amp; 2'!$B$78*100</f>
        <v>0</v>
      </c>
      <c r="I75" s="211">
        <f>'table 1 &amp; 2'!H78/'table 1 &amp; 2'!$B$78*100</f>
        <v>0</v>
      </c>
    </row>
    <row r="76" spans="2:9" x14ac:dyDescent="0.2">
      <c r="B76" s="52" t="s">
        <v>58</v>
      </c>
      <c r="C76" s="217">
        <f>'table 1 &amp; 2'!B79/'table 1 &amp; 2'!$B$79*100</f>
        <v>100</v>
      </c>
      <c r="D76" s="218">
        <f>'table 1 &amp; 2'!C79/'table 1 &amp; 2'!$B$79*100</f>
        <v>50.204933829632978</v>
      </c>
      <c r="E76" s="217">
        <f>'table 1 &amp; 2'!D79/'table 1 &amp; 2'!$B$79*100</f>
        <v>49.795066170367029</v>
      </c>
      <c r="F76" s="217">
        <f>'table 1 &amp; 2'!E79/'table 1 &amp; 2'!$B$79*100</f>
        <v>100</v>
      </c>
      <c r="G76" s="218">
        <f>'table 1 &amp; 2'!F79/'table 1 &amp; 2'!$B$79*100</f>
        <v>0</v>
      </c>
      <c r="H76" s="217">
        <f>'table 1 &amp; 2'!G79/'table 1 &amp; 2'!$B$79*100</f>
        <v>0</v>
      </c>
      <c r="I76" s="217">
        <f>'table 1 &amp; 2'!H79/'table 1 &amp; 2'!$B$79*100</f>
        <v>0</v>
      </c>
    </row>
    <row r="77" spans="2:9" x14ac:dyDescent="0.2">
      <c r="B77" t="s">
        <v>59</v>
      </c>
      <c r="C77" s="211">
        <f>'table 1 &amp; 2'!B80/'table 1 &amp; 2'!$B$80*100</f>
        <v>100</v>
      </c>
      <c r="D77" s="214">
        <f>'table 1 &amp; 2'!C80/'table 1 &amp; 2'!$B$80*100</f>
        <v>54.866970581388706</v>
      </c>
      <c r="E77" s="211">
        <f>'table 1 &amp; 2'!D80/'table 1 &amp; 2'!$B$80*100</f>
        <v>45.133029418611301</v>
      </c>
      <c r="F77" s="211">
        <f>'table 1 &amp; 2'!E80/'table 1 &amp; 2'!$B$80*100</f>
        <v>100</v>
      </c>
      <c r="G77" s="214">
        <f>'table 1 &amp; 2'!F80/'table 1 &amp; 2'!$B$80*100</f>
        <v>0</v>
      </c>
      <c r="H77" s="211">
        <f>'table 1 &amp; 2'!G80/'table 1 &amp; 2'!$B$80*100</f>
        <v>0</v>
      </c>
      <c r="I77" s="211">
        <f>'table 1 &amp; 2'!H80/'table 1 &amp; 2'!$B$80*100</f>
        <v>0</v>
      </c>
    </row>
    <row r="78" spans="2:9" x14ac:dyDescent="0.2">
      <c r="B78" s="52" t="s">
        <v>60</v>
      </c>
      <c r="C78" s="217">
        <f>'table 1 &amp; 2'!B81/'table 1 &amp; 2'!$B$81*100</f>
        <v>100</v>
      </c>
      <c r="D78" s="218">
        <f>'table 1 &amp; 2'!C81/'table 1 &amp; 2'!$B$81*100</f>
        <v>41.096904579050772</v>
      </c>
      <c r="E78" s="217">
        <f>'table 1 &amp; 2'!D81/'table 1 &amp; 2'!$B$81*100</f>
        <v>58.903095420949228</v>
      </c>
      <c r="F78" s="217">
        <f>'table 1 &amp; 2'!E81/'table 1 &amp; 2'!$B$81*100</f>
        <v>100</v>
      </c>
      <c r="G78" s="218">
        <f>'table 1 &amp; 2'!F81/'table 1 &amp; 2'!$B$81*100</f>
        <v>0</v>
      </c>
      <c r="H78" s="217">
        <f>'table 1 &amp; 2'!G81/'table 1 &amp; 2'!$B$81*100</f>
        <v>0</v>
      </c>
      <c r="I78" s="217">
        <f>'table 1 &amp; 2'!H81/'table 1 &amp; 2'!$B$81*100</f>
        <v>0</v>
      </c>
    </row>
    <row r="79" spans="2:9" x14ac:dyDescent="0.2">
      <c r="B79" t="s">
        <v>61</v>
      </c>
      <c r="C79" s="211">
        <f>'table 1 &amp; 2'!B82/'table 1 &amp; 2'!$B$82*100</f>
        <v>100</v>
      </c>
      <c r="D79" s="214">
        <f>'table 1 &amp; 2'!C82/'table 1 &amp; 2'!$B$82*100</f>
        <v>22.914909777248536</v>
      </c>
      <c r="E79" s="211">
        <f>'table 1 &amp; 2'!D82/'table 1 &amp; 2'!$B$82*100</f>
        <v>73.86024539977268</v>
      </c>
      <c r="F79" s="211">
        <f>'table 1 &amp; 2'!E82/'table 1 &amp; 2'!$B$82*100</f>
        <v>96.775155177021205</v>
      </c>
      <c r="G79" s="214">
        <f>'table 1 &amp; 2'!F82/'table 1 &amp; 2'!$B$82*100</f>
        <v>2.6412979573922004</v>
      </c>
      <c r="H79" s="211">
        <f>'table 1 &amp; 2'!G82/'table 1 &amp; 2'!$B$82*100</f>
        <v>0.58354686558657964</v>
      </c>
      <c r="I79" s="211">
        <f>'table 1 &amp; 2'!H82/'table 1 &amp; 2'!$B$82*100</f>
        <v>3.2248448229787798</v>
      </c>
    </row>
    <row r="80" spans="2:9" x14ac:dyDescent="0.2">
      <c r="B80" s="52" t="s">
        <v>62</v>
      </c>
      <c r="C80" s="217">
        <f>'table 1 &amp; 2'!B83/'table 1 &amp; 2'!$B$83*100</f>
        <v>100</v>
      </c>
      <c r="D80" s="218">
        <f>'table 1 &amp; 2'!C83/'table 1 &amp; 2'!$B$83*100</f>
        <v>66.109251039019625</v>
      </c>
      <c r="E80" s="217">
        <f>'table 1 &amp; 2'!D83/'table 1 &amp; 2'!$B$83*100</f>
        <v>33.890748960980368</v>
      </c>
      <c r="F80" s="217">
        <f>'table 1 &amp; 2'!E83/'table 1 &amp; 2'!$B$83*100</f>
        <v>100</v>
      </c>
      <c r="G80" s="218">
        <f>'table 1 &amp; 2'!F83/'table 1 &amp; 2'!$B$83*100</f>
        <v>0</v>
      </c>
      <c r="H80" s="217">
        <f>'table 1 &amp; 2'!G83/'table 1 &amp; 2'!$B$83*100</f>
        <v>0</v>
      </c>
      <c r="I80" s="217">
        <f>'table 1 &amp; 2'!H83/'table 1 &amp; 2'!$B$83*100</f>
        <v>0</v>
      </c>
    </row>
    <row r="81" spans="2:9" x14ac:dyDescent="0.2">
      <c r="B81" s="112" t="s">
        <v>401</v>
      </c>
      <c r="C81" s="212">
        <f>'table 1 &amp; 2'!B84/'table 1 &amp; 2'!$B$84*100</f>
        <v>100</v>
      </c>
      <c r="D81" s="215">
        <f>'table 1 &amp; 2'!C84/'table 1 &amp; 2'!$B$84*100</f>
        <v>49.525632292614844</v>
      </c>
      <c r="E81" s="212">
        <f>'table 1 &amp; 2'!D84/'table 1 &amp; 2'!$B$84*100</f>
        <v>25.202070035737968</v>
      </c>
      <c r="F81" s="212">
        <f>'table 1 &amp; 2'!E84/'table 1 &amp; 2'!$B$84*100</f>
        <v>74.727702328352805</v>
      </c>
      <c r="G81" s="215">
        <f>'table 1 &amp; 2'!F84/'table 1 &amp; 2'!$B$84*100</f>
        <v>20.557683381489284</v>
      </c>
      <c r="H81" s="212">
        <f>'table 1 &amp; 2'!G84/'table 1 &amp; 2'!$B$84*100</f>
        <v>4.7146142901579013</v>
      </c>
      <c r="I81" s="212">
        <f>'table 1 &amp; 2'!H84/'table 1 &amp; 2'!$B$84*100</f>
        <v>25.272297671647188</v>
      </c>
    </row>
    <row r="82" spans="2:9" x14ac:dyDescent="0.2">
      <c r="B82" t="s">
        <v>402</v>
      </c>
    </row>
    <row r="86" spans="2:9" x14ac:dyDescent="0.2">
      <c r="B86" s="633">
        <f>'Tables 11 &amp; 12'!B85:M85+1</f>
        <v>15</v>
      </c>
      <c r="C86" s="633"/>
      <c r="D86" s="633"/>
      <c r="E86" s="633"/>
      <c r="F86" s="633"/>
      <c r="G86" s="633"/>
      <c r="H86" s="633"/>
      <c r="I86" s="633"/>
    </row>
  </sheetData>
  <mergeCells count="1">
    <mergeCell ref="B86:I86"/>
  </mergeCells>
  <phoneticPr fontId="38" type="noConversion"/>
  <printOptions horizontalCentered="1" verticalCentered="1"/>
  <pageMargins left="0.75" right="0.75" top="0.36" bottom="0.37" header="0" footer="0"/>
  <pageSetup scale="6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  <pageSetUpPr fitToPage="1"/>
  </sheetPr>
  <dimension ref="B1:AJ89"/>
  <sheetViews>
    <sheetView showGridLines="0" zoomScaleNormal="100" workbookViewId="0">
      <selection activeCell="B1" sqref="B1"/>
    </sheetView>
  </sheetViews>
  <sheetFormatPr defaultRowHeight="12.75" x14ac:dyDescent="0.2"/>
  <cols>
    <col min="2" max="2" width="10.85546875" bestFit="1" customWidth="1"/>
    <col min="3" max="6" width="15.28515625" customWidth="1"/>
    <col min="7" max="9" width="16.42578125" customWidth="1"/>
    <col min="11" max="11" width="15.85546875" hidden="1" customWidth="1"/>
    <col min="12" max="12" width="15.28515625" hidden="1" customWidth="1"/>
    <col min="13" max="15" width="0" hidden="1" customWidth="1"/>
    <col min="16" max="16" width="14.140625" hidden="1" customWidth="1"/>
    <col min="17" max="17" width="13" hidden="1" customWidth="1"/>
    <col min="18" max="22" width="0" hidden="1" customWidth="1"/>
    <col min="26" max="26" width="12.7109375" bestFit="1" customWidth="1"/>
    <col min="27" max="27" width="13.7109375" customWidth="1"/>
    <col min="31" max="31" width="13.85546875" customWidth="1"/>
    <col min="32" max="32" width="11.7109375" customWidth="1"/>
    <col min="36" max="36" width="14.140625" customWidth="1"/>
  </cols>
  <sheetData>
    <row r="1" spans="2:36" ht="15.75" x14ac:dyDescent="0.25">
      <c r="B1" s="1" t="s">
        <v>438</v>
      </c>
    </row>
    <row r="2" spans="2:36" ht="15.75" x14ac:dyDescent="0.25">
      <c r="B2" s="3" t="s">
        <v>491</v>
      </c>
      <c r="E2" s="3" t="str">
        <f>'table 1 &amp; 2'!C2</f>
        <v>2025 Tax Year</v>
      </c>
    </row>
    <row r="4" spans="2:36" x14ac:dyDescent="0.2">
      <c r="B4" s="7" t="s">
        <v>500</v>
      </c>
      <c r="C4" s="7"/>
      <c r="D4" s="7"/>
      <c r="E4" s="7"/>
      <c r="F4" s="7"/>
      <c r="G4" s="7"/>
      <c r="H4" s="7" t="str">
        <f>E2</f>
        <v>2025 Tax Year</v>
      </c>
      <c r="I4" s="7"/>
    </row>
    <row r="5" spans="2:36" ht="6.75" customHeight="1" x14ac:dyDescent="0.25">
      <c r="B5" s="73"/>
      <c r="C5" s="7"/>
      <c r="D5" s="7"/>
      <c r="E5" s="7"/>
      <c r="F5" s="7"/>
      <c r="G5" s="7"/>
      <c r="H5" s="7"/>
      <c r="I5" s="7"/>
    </row>
    <row r="6" spans="2:36" x14ac:dyDescent="0.2">
      <c r="C6" s="46"/>
      <c r="D6" s="124"/>
      <c r="E6" s="170"/>
      <c r="F6" s="170"/>
      <c r="G6" s="124" t="s">
        <v>4</v>
      </c>
      <c r="H6" s="170"/>
      <c r="I6" s="170"/>
    </row>
    <row r="7" spans="2:36" ht="13.5" thickBot="1" x14ac:dyDescent="0.25">
      <c r="B7" s="47" t="s">
        <v>27</v>
      </c>
      <c r="C7" s="219" t="s">
        <v>8</v>
      </c>
      <c r="D7" s="220" t="s">
        <v>9</v>
      </c>
      <c r="E7" s="67" t="s">
        <v>28</v>
      </c>
      <c r="F7" s="67" t="s">
        <v>29</v>
      </c>
      <c r="G7" s="221" t="s">
        <v>30</v>
      </c>
      <c r="H7" s="171" t="s">
        <v>10</v>
      </c>
      <c r="I7" s="171" t="s">
        <v>29</v>
      </c>
      <c r="L7" s="174">
        <f>AVERAGE(L8:L40)</f>
        <v>13016766.917089105</v>
      </c>
      <c r="R7" s="174">
        <f>AVERAGE(R8:R40)</f>
        <v>276.24337086376028</v>
      </c>
    </row>
    <row r="8" spans="2:36" x14ac:dyDescent="0.2">
      <c r="B8" s="52" t="s">
        <v>31</v>
      </c>
      <c r="C8" s="53">
        <f>F8+I8</f>
        <v>172723363.38</v>
      </c>
      <c r="D8" s="228">
        <v>120545554.79000001</v>
      </c>
      <c r="E8" s="53">
        <v>52177808.590000004</v>
      </c>
      <c r="F8" s="53">
        <f>SUM(D8:E8)</f>
        <v>172723363.38</v>
      </c>
      <c r="G8" s="228"/>
      <c r="H8" s="53"/>
      <c r="I8" s="53">
        <f>SUM(G8:H8)</f>
        <v>0</v>
      </c>
      <c r="K8" s="52" t="s">
        <v>31</v>
      </c>
      <c r="L8" s="169">
        <v>107494856.25115001</v>
      </c>
      <c r="M8" s="52" t="s">
        <v>31</v>
      </c>
      <c r="N8" s="238">
        <v>635139</v>
      </c>
      <c r="O8">
        <f>+L8/N8</f>
        <v>169.24619059945934</v>
      </c>
      <c r="P8" s="52" t="s">
        <v>31</v>
      </c>
      <c r="Q8" s="53">
        <v>107494856.25115001</v>
      </c>
      <c r="R8" s="250">
        <f>+Q8/N8</f>
        <v>169.24619059945934</v>
      </c>
      <c r="AB8" s="591" t="s">
        <v>588</v>
      </c>
      <c r="AC8" s="569"/>
      <c r="AD8" s="569"/>
      <c r="AE8" s="569"/>
      <c r="AF8" s="569"/>
      <c r="AG8" s="585" t="s">
        <v>582</v>
      </c>
      <c r="AH8" s="569"/>
      <c r="AI8" s="569"/>
      <c r="AJ8" s="570"/>
    </row>
    <row r="9" spans="2:36" x14ac:dyDescent="0.2">
      <c r="B9" t="s">
        <v>32</v>
      </c>
      <c r="C9" s="48">
        <f t="shared" ref="C9:C40" si="0">F9+I9</f>
        <v>1832921.61</v>
      </c>
      <c r="D9" s="222">
        <v>776249.87000000011</v>
      </c>
      <c r="E9" s="48">
        <v>1056671.74</v>
      </c>
      <c r="F9" s="48">
        <f t="shared" ref="F9:F40" si="1">SUM(D9:E9)</f>
        <v>1832921.61</v>
      </c>
      <c r="G9" s="222"/>
      <c r="H9" s="48"/>
      <c r="I9" s="48">
        <f t="shared" ref="I9:I40" si="2">SUM(G9:H9)</f>
        <v>0</v>
      </c>
      <c r="K9" s="52" t="s">
        <v>56</v>
      </c>
      <c r="L9" s="169">
        <v>42746324.385660008</v>
      </c>
      <c r="M9" t="s">
        <v>32</v>
      </c>
      <c r="N9" s="238">
        <v>3405</v>
      </c>
      <c r="O9">
        <f t="shared" ref="O9:O40" si="3">+L9/N9</f>
        <v>12553.986603718064</v>
      </c>
      <c r="P9" t="s">
        <v>32</v>
      </c>
      <c r="Q9" s="48">
        <v>1185616.2622529999</v>
      </c>
      <c r="R9" s="250">
        <f t="shared" ref="R9:R40" si="4">+Q9/N9</f>
        <v>348.19860859118938</v>
      </c>
      <c r="AB9" s="589" t="s">
        <v>584</v>
      </c>
      <c r="AC9" s="560"/>
      <c r="AD9" s="560"/>
      <c r="AE9" s="590">
        <f>MAX(C8:C40)</f>
        <v>239113955.17000002</v>
      </c>
      <c r="AF9" s="560" t="str">
        <f>_xlfn.XLOOKUP(AE9,C8:C40,B8:B40)</f>
        <v>Lea</v>
      </c>
      <c r="AG9" s="580" t="s">
        <v>587</v>
      </c>
      <c r="AH9" s="580"/>
      <c r="AI9" s="580"/>
      <c r="AJ9" s="586">
        <f>ROUNDDOWN(AE9/1000000,1)</f>
        <v>239.1</v>
      </c>
    </row>
    <row r="10" spans="2:36" x14ac:dyDescent="0.2">
      <c r="B10" s="52" t="s">
        <v>33</v>
      </c>
      <c r="C10" s="53">
        <f t="shared" si="0"/>
        <v>12447810.979999999</v>
      </c>
      <c r="D10" s="228">
        <v>4751264.6199999982</v>
      </c>
      <c r="E10" s="53">
        <v>6721735.3899999987</v>
      </c>
      <c r="F10" s="53">
        <f t="shared" si="1"/>
        <v>11473000.009999998</v>
      </c>
      <c r="G10" s="228">
        <v>793080.95</v>
      </c>
      <c r="H10" s="53">
        <v>181730.02</v>
      </c>
      <c r="I10" s="53">
        <f t="shared" si="2"/>
        <v>974810.97</v>
      </c>
      <c r="K10" t="s">
        <v>43</v>
      </c>
      <c r="L10" s="169">
        <v>39285180.067145996</v>
      </c>
      <c r="M10" s="52" t="s">
        <v>33</v>
      </c>
      <c r="N10" s="238">
        <v>63060</v>
      </c>
      <c r="O10">
        <f t="shared" si="3"/>
        <v>622.98097156907704</v>
      </c>
      <c r="P10" s="52" t="s">
        <v>33</v>
      </c>
      <c r="Q10" s="53">
        <v>9446373.5700164996</v>
      </c>
      <c r="R10" s="250">
        <f t="shared" si="4"/>
        <v>149.79977117057564</v>
      </c>
      <c r="AB10" s="577" t="s">
        <v>585</v>
      </c>
      <c r="AC10" s="572"/>
      <c r="AD10" s="572"/>
      <c r="AE10" s="584">
        <f>MIN(C8:C40)</f>
        <v>805236.57</v>
      </c>
      <c r="AF10" s="572" t="str">
        <f>_xlfn.XLOOKUP(AE10,C8:C40,B8:B40)</f>
        <v>Harding</v>
      </c>
      <c r="AG10" s="587" t="s">
        <v>586</v>
      </c>
      <c r="AH10" s="587"/>
      <c r="AI10" s="587"/>
      <c r="AJ10" s="588">
        <f>ROUNDDOWN(AE10/1000,1)</f>
        <v>805.2</v>
      </c>
    </row>
    <row r="11" spans="2:36" x14ac:dyDescent="0.2">
      <c r="B11" t="s">
        <v>34</v>
      </c>
      <c r="C11" s="48">
        <f t="shared" si="0"/>
        <v>4444895.91</v>
      </c>
      <c r="D11" s="222">
        <v>1668316.5299999998</v>
      </c>
      <c r="E11" s="48">
        <v>2776579.38</v>
      </c>
      <c r="F11" s="48">
        <f t="shared" si="1"/>
        <v>4444895.91</v>
      </c>
      <c r="G11" s="222"/>
      <c r="H11" s="48"/>
      <c r="I11" s="48">
        <f t="shared" si="2"/>
        <v>0</v>
      </c>
      <c r="K11" t="s">
        <v>53</v>
      </c>
      <c r="L11" s="169">
        <v>35987210.645899996</v>
      </c>
      <c r="M11" t="s">
        <v>34</v>
      </c>
      <c r="N11" s="238">
        <v>27285</v>
      </c>
      <c r="O11">
        <f t="shared" si="3"/>
        <v>1318.9375351255267</v>
      </c>
      <c r="P11" t="s">
        <v>34</v>
      </c>
      <c r="Q11" s="48">
        <v>2926624.5830860003</v>
      </c>
      <c r="R11" s="250">
        <f t="shared" si="4"/>
        <v>107.26130046127911</v>
      </c>
    </row>
    <row r="12" spans="2:36" x14ac:dyDescent="0.2">
      <c r="B12" s="52" t="s">
        <v>35</v>
      </c>
      <c r="C12" s="53">
        <f t="shared" si="0"/>
        <v>7739573.0899999989</v>
      </c>
      <c r="D12" s="228">
        <v>4881148.3199999994</v>
      </c>
      <c r="E12" s="53">
        <v>2699056.98</v>
      </c>
      <c r="F12" s="53">
        <f t="shared" si="1"/>
        <v>7580205.2999999989</v>
      </c>
      <c r="G12" s="228">
        <v>131488.12</v>
      </c>
      <c r="H12" s="53">
        <v>27879.670000000002</v>
      </c>
      <c r="I12" s="53">
        <f t="shared" si="2"/>
        <v>159367.79</v>
      </c>
      <c r="K12" t="s">
        <v>37</v>
      </c>
      <c r="L12" s="169">
        <v>33984975.144288003</v>
      </c>
      <c r="M12" s="52" t="s">
        <v>35</v>
      </c>
      <c r="N12" s="238">
        <v>12962</v>
      </c>
      <c r="O12">
        <f t="shared" si="3"/>
        <v>2621.8928517426325</v>
      </c>
      <c r="P12" s="52" t="s">
        <v>35</v>
      </c>
      <c r="Q12" s="53">
        <v>5375342.512782</v>
      </c>
      <c r="R12" s="250">
        <f t="shared" si="4"/>
        <v>414.70008584956025</v>
      </c>
    </row>
    <row r="13" spans="2:36" x14ac:dyDescent="0.2">
      <c r="B13" t="s">
        <v>36</v>
      </c>
      <c r="C13" s="48">
        <f t="shared" si="0"/>
        <v>11476737.560000001</v>
      </c>
      <c r="D13" s="222">
        <v>7324808.040000001</v>
      </c>
      <c r="E13" s="48">
        <v>4151929.52</v>
      </c>
      <c r="F13" s="48">
        <f t="shared" si="1"/>
        <v>11476737.560000001</v>
      </c>
      <c r="G13" s="222"/>
      <c r="H13" s="48"/>
      <c r="I13" s="48">
        <f t="shared" si="2"/>
        <v>0</v>
      </c>
      <c r="K13" s="52" t="s">
        <v>38</v>
      </c>
      <c r="L13" s="169">
        <v>26133280.958453998</v>
      </c>
      <c r="M13" t="s">
        <v>36</v>
      </c>
      <c r="N13" s="238">
        <v>43755</v>
      </c>
      <c r="O13">
        <f t="shared" si="3"/>
        <v>597.26387746438115</v>
      </c>
      <c r="P13" t="s">
        <v>36</v>
      </c>
      <c r="Q13" s="48">
        <v>6132517.2961940002</v>
      </c>
      <c r="R13" s="250">
        <f t="shared" si="4"/>
        <v>140.15580610659353</v>
      </c>
    </row>
    <row r="14" spans="2:36" x14ac:dyDescent="0.2">
      <c r="B14" s="52" t="s">
        <v>67</v>
      </c>
      <c r="C14" s="53">
        <f t="shared" si="0"/>
        <v>1072529.47</v>
      </c>
      <c r="D14" s="228">
        <v>210277.7</v>
      </c>
      <c r="E14" s="53">
        <v>862251.77</v>
      </c>
      <c r="F14" s="53">
        <f t="shared" si="1"/>
        <v>1072529.47</v>
      </c>
      <c r="G14" s="228"/>
      <c r="H14" s="53"/>
      <c r="I14" s="53">
        <f t="shared" si="2"/>
        <v>0</v>
      </c>
      <c r="K14" t="s">
        <v>51</v>
      </c>
      <c r="L14" s="169">
        <v>22905105.641509</v>
      </c>
      <c r="M14" s="52" t="s">
        <v>67</v>
      </c>
      <c r="N14" s="238">
        <v>1907</v>
      </c>
      <c r="O14">
        <f t="shared" si="3"/>
        <v>12011.067457529627</v>
      </c>
      <c r="P14" s="52" t="s">
        <v>67</v>
      </c>
      <c r="Q14" s="53">
        <v>589491.53411999997</v>
      </c>
      <c r="R14" s="250">
        <f t="shared" si="4"/>
        <v>309.11983960146824</v>
      </c>
    </row>
    <row r="15" spans="2:36" x14ac:dyDescent="0.2">
      <c r="B15" t="s">
        <v>37</v>
      </c>
      <c r="C15" s="48">
        <f t="shared" si="0"/>
        <v>61161281.480000004</v>
      </c>
      <c r="D15" s="222">
        <v>41928184.590000004</v>
      </c>
      <c r="E15" s="48">
        <v>19233096.890000001</v>
      </c>
      <c r="F15" s="48">
        <f t="shared" si="1"/>
        <v>61161281.480000004</v>
      </c>
      <c r="G15" s="222"/>
      <c r="H15" s="48"/>
      <c r="I15" s="48">
        <f t="shared" si="2"/>
        <v>0</v>
      </c>
      <c r="K15" t="s">
        <v>55</v>
      </c>
      <c r="L15" s="169">
        <v>18515693.079924002</v>
      </c>
      <c r="M15" t="s">
        <v>37</v>
      </c>
      <c r="N15" s="238">
        <v>201603</v>
      </c>
      <c r="O15">
        <f t="shared" si="3"/>
        <v>91.842348972604583</v>
      </c>
      <c r="P15" t="s">
        <v>37</v>
      </c>
      <c r="Q15" s="48">
        <v>33984975.144288003</v>
      </c>
      <c r="R15" s="250">
        <f t="shared" si="4"/>
        <v>168.57375705861523</v>
      </c>
    </row>
    <row r="16" spans="2:36" x14ac:dyDescent="0.2">
      <c r="B16" s="52" t="s">
        <v>38</v>
      </c>
      <c r="C16" s="53">
        <f t="shared" si="0"/>
        <v>141855649.15000001</v>
      </c>
      <c r="D16" s="228">
        <v>6028520.2600000007</v>
      </c>
      <c r="E16" s="53">
        <v>27901957.230000004</v>
      </c>
      <c r="F16" s="53">
        <f t="shared" si="1"/>
        <v>33930477.490000002</v>
      </c>
      <c r="G16" s="228">
        <v>87903173.760000005</v>
      </c>
      <c r="H16" s="53">
        <v>20021997.900000002</v>
      </c>
      <c r="I16" s="53">
        <f t="shared" si="2"/>
        <v>107925171.66000001</v>
      </c>
      <c r="K16" s="52" t="s">
        <v>33</v>
      </c>
      <c r="L16" s="169">
        <v>9446373.5700164996</v>
      </c>
      <c r="M16" s="52" t="s">
        <v>38</v>
      </c>
      <c r="N16" s="238">
        <v>51360</v>
      </c>
      <c r="O16">
        <f t="shared" si="3"/>
        <v>183.92471904237732</v>
      </c>
      <c r="P16" s="52" t="s">
        <v>38</v>
      </c>
      <c r="Q16" s="53">
        <v>26133280.958453998</v>
      </c>
      <c r="R16" s="250">
        <f t="shared" si="4"/>
        <v>508.82556383282707</v>
      </c>
    </row>
    <row r="17" spans="2:32" x14ac:dyDescent="0.2">
      <c r="B17" t="s">
        <v>39</v>
      </c>
      <c r="C17" s="48">
        <f t="shared" si="0"/>
        <v>8438005.6199999992</v>
      </c>
      <c r="D17" s="222">
        <v>3543878.3099999996</v>
      </c>
      <c r="E17" s="48">
        <v>2881451.06</v>
      </c>
      <c r="F17" s="48">
        <f t="shared" si="1"/>
        <v>6425329.3699999992</v>
      </c>
      <c r="G17" s="222">
        <v>2012676.25</v>
      </c>
      <c r="H17" s="48"/>
      <c r="I17" s="48">
        <f t="shared" si="2"/>
        <v>2012676.25</v>
      </c>
      <c r="K17" s="52" t="s">
        <v>62</v>
      </c>
      <c r="L17" s="169">
        <v>9414489.8172239996</v>
      </c>
      <c r="M17" t="s">
        <v>39</v>
      </c>
      <c r="N17" s="238">
        <v>29844</v>
      </c>
      <c r="O17">
        <f t="shared" si="3"/>
        <v>315.45670209167673</v>
      </c>
      <c r="P17" t="s">
        <v>39</v>
      </c>
      <c r="Q17" s="48">
        <v>6465253.2397279991</v>
      </c>
      <c r="R17" s="250">
        <f t="shared" si="4"/>
        <v>216.63494302801229</v>
      </c>
    </row>
    <row r="18" spans="2:32" x14ac:dyDescent="0.2">
      <c r="B18" s="52" t="s">
        <v>40</v>
      </c>
      <c r="C18" s="53">
        <f t="shared" si="0"/>
        <v>2369687.84</v>
      </c>
      <c r="D18" s="228">
        <v>419626.73000000004</v>
      </c>
      <c r="E18" s="53">
        <v>1950061.1099999999</v>
      </c>
      <c r="F18" s="53">
        <f t="shared" si="1"/>
        <v>2369687.84</v>
      </c>
      <c r="G18" s="228"/>
      <c r="H18" s="53"/>
      <c r="I18" s="53">
        <f t="shared" si="2"/>
        <v>0</v>
      </c>
      <c r="K18" t="s">
        <v>59</v>
      </c>
      <c r="L18" s="169">
        <v>8787778.7235669997</v>
      </c>
      <c r="M18" s="52" t="s">
        <v>40</v>
      </c>
      <c r="N18" s="238">
        <v>4346</v>
      </c>
      <c r="O18">
        <f t="shared" si="3"/>
        <v>2022.0383625326735</v>
      </c>
      <c r="P18" s="52" t="s">
        <v>40</v>
      </c>
      <c r="Q18" s="53">
        <v>1163194.6524479999</v>
      </c>
      <c r="R18" s="250">
        <f t="shared" si="4"/>
        <v>267.64718187942935</v>
      </c>
    </row>
    <row r="19" spans="2:32" x14ac:dyDescent="0.2">
      <c r="B19" t="s">
        <v>41</v>
      </c>
      <c r="C19" s="48">
        <f t="shared" si="0"/>
        <v>805236.57</v>
      </c>
      <c r="D19" s="222">
        <v>54956.840000000004</v>
      </c>
      <c r="E19" s="48">
        <v>594216.49</v>
      </c>
      <c r="F19" s="48">
        <f t="shared" si="1"/>
        <v>649173.32999999996</v>
      </c>
      <c r="G19" s="222">
        <v>128556.86</v>
      </c>
      <c r="H19" s="48">
        <v>27506.38</v>
      </c>
      <c r="I19" s="48">
        <f t="shared" si="2"/>
        <v>156063.24</v>
      </c>
      <c r="K19" t="s">
        <v>49</v>
      </c>
      <c r="L19" s="169">
        <v>7590211.865348001</v>
      </c>
      <c r="M19" t="s">
        <v>41</v>
      </c>
      <c r="N19" s="238">
        <v>684</v>
      </c>
      <c r="O19">
        <f t="shared" si="3"/>
        <v>11096.800972730996</v>
      </c>
      <c r="P19" t="s">
        <v>41</v>
      </c>
      <c r="Q19" s="48">
        <v>793572.3648155001</v>
      </c>
      <c r="R19" s="250">
        <f t="shared" si="4"/>
        <v>1160.1935158121346</v>
      </c>
    </row>
    <row r="20" spans="2:32" x14ac:dyDescent="0.2">
      <c r="B20" s="52" t="s">
        <v>42</v>
      </c>
      <c r="C20" s="53">
        <f t="shared" si="0"/>
        <v>2275001.08</v>
      </c>
      <c r="D20" s="228">
        <v>325332.99</v>
      </c>
      <c r="E20" s="53">
        <v>1949668.0899999999</v>
      </c>
      <c r="F20" s="53">
        <f t="shared" si="1"/>
        <v>2275001.08</v>
      </c>
      <c r="G20" s="228"/>
      <c r="H20" s="53"/>
      <c r="I20" s="53">
        <f t="shared" si="2"/>
        <v>0</v>
      </c>
      <c r="K20" t="s">
        <v>47</v>
      </c>
      <c r="L20" s="169">
        <v>7101100.0963185001</v>
      </c>
      <c r="M20" s="52" t="s">
        <v>42</v>
      </c>
      <c r="N20" s="238">
        <v>4910</v>
      </c>
      <c r="O20">
        <f t="shared" si="3"/>
        <v>1446.2525654416497</v>
      </c>
      <c r="P20" s="52" t="s">
        <v>42</v>
      </c>
      <c r="Q20" s="53">
        <v>1603331.9942999999</v>
      </c>
      <c r="R20" s="250">
        <f t="shared" si="4"/>
        <v>326.5441943584521</v>
      </c>
    </row>
    <row r="21" spans="2:32" x14ac:dyDescent="0.2">
      <c r="B21" t="s">
        <v>43</v>
      </c>
      <c r="C21" s="48">
        <f t="shared" si="0"/>
        <v>239113955.17000002</v>
      </c>
      <c r="D21" s="222">
        <v>6356373.9299999997</v>
      </c>
      <c r="E21" s="48">
        <v>31643627.890000001</v>
      </c>
      <c r="F21" s="48">
        <f t="shared" si="1"/>
        <v>38000001.82</v>
      </c>
      <c r="G21" s="222">
        <v>163116757.30000001</v>
      </c>
      <c r="H21" s="48">
        <v>37997196.049999997</v>
      </c>
      <c r="I21" s="48">
        <f t="shared" si="2"/>
        <v>201113953.35000002</v>
      </c>
      <c r="K21" t="s">
        <v>39</v>
      </c>
      <c r="L21" s="169">
        <v>6465253.2397279991</v>
      </c>
      <c r="M21" t="s">
        <v>43</v>
      </c>
      <c r="N21" s="238">
        <v>59155</v>
      </c>
      <c r="O21">
        <f t="shared" si="3"/>
        <v>109.29343656035836</v>
      </c>
      <c r="P21" t="s">
        <v>43</v>
      </c>
      <c r="Q21" s="48">
        <v>39285180.067145996</v>
      </c>
      <c r="R21" s="250">
        <f t="shared" si="4"/>
        <v>664.105824818629</v>
      </c>
    </row>
    <row r="22" spans="2:32" x14ac:dyDescent="0.2">
      <c r="B22" s="52" t="s">
        <v>44</v>
      </c>
      <c r="C22" s="53">
        <f t="shared" si="0"/>
        <v>10444631.85</v>
      </c>
      <c r="D22" s="228">
        <v>6193012.9899999993</v>
      </c>
      <c r="E22" s="53">
        <v>4251618.8600000003</v>
      </c>
      <c r="F22" s="53">
        <f t="shared" si="1"/>
        <v>10444631.85</v>
      </c>
      <c r="G22" s="228"/>
      <c r="H22" s="53"/>
      <c r="I22" s="53">
        <f t="shared" si="2"/>
        <v>0</v>
      </c>
      <c r="K22" t="s">
        <v>36</v>
      </c>
      <c r="L22" s="169">
        <v>6132517.2961940002</v>
      </c>
      <c r="M22" s="52" t="s">
        <v>44</v>
      </c>
      <c r="N22" s="238">
        <v>20793</v>
      </c>
      <c r="O22">
        <f t="shared" si="3"/>
        <v>294.93181821738085</v>
      </c>
      <c r="P22" s="52" t="s">
        <v>44</v>
      </c>
      <c r="Q22" s="53">
        <v>5879573.0777330007</v>
      </c>
      <c r="R22" s="250">
        <f t="shared" si="4"/>
        <v>282.76694453580535</v>
      </c>
      <c r="AB22" s="559" t="s">
        <v>582</v>
      </c>
      <c r="AC22" s="560"/>
      <c r="AD22" s="560"/>
      <c r="AE22" s="560"/>
      <c r="AF22" s="560"/>
    </row>
    <row r="23" spans="2:32" x14ac:dyDescent="0.2">
      <c r="B23" t="s">
        <v>45</v>
      </c>
      <c r="C23" s="48">
        <f t="shared" si="0"/>
        <v>5981724.959999999</v>
      </c>
      <c r="D23" s="222">
        <v>4854845.8099999996</v>
      </c>
      <c r="E23" s="48">
        <v>1126879.1499999999</v>
      </c>
      <c r="F23" s="48">
        <f t="shared" si="1"/>
        <v>5981724.959999999</v>
      </c>
      <c r="G23" s="222"/>
      <c r="H23" s="48"/>
      <c r="I23" s="48">
        <f t="shared" si="2"/>
        <v>0</v>
      </c>
      <c r="K23" s="52" t="s">
        <v>44</v>
      </c>
      <c r="L23" s="169">
        <v>5879573.0777330007</v>
      </c>
      <c r="M23" t="s">
        <v>45</v>
      </c>
      <c r="N23" s="238">
        <v>18150</v>
      </c>
      <c r="O23">
        <f t="shared" si="3"/>
        <v>323.9434202607714</v>
      </c>
      <c r="P23" t="s">
        <v>45</v>
      </c>
      <c r="Q23" s="48">
        <v>3885423.3937600004</v>
      </c>
      <c r="R23" s="250">
        <f t="shared" si="4"/>
        <v>214.07291425674933</v>
      </c>
      <c r="AB23" s="581" t="s">
        <v>522</v>
      </c>
      <c r="AC23" s="569"/>
      <c r="AD23" s="582" t="s">
        <v>583</v>
      </c>
      <c r="AE23" s="569"/>
      <c r="AF23" s="570"/>
    </row>
    <row r="24" spans="2:32" x14ac:dyDescent="0.2">
      <c r="B24" s="52" t="s">
        <v>46</v>
      </c>
      <c r="C24" s="53">
        <f t="shared" si="0"/>
        <v>8059559.29</v>
      </c>
      <c r="D24" s="228">
        <v>3278991.3200000003</v>
      </c>
      <c r="E24" s="53">
        <v>4780567.97</v>
      </c>
      <c r="F24" s="53">
        <f t="shared" si="1"/>
        <v>8059559.29</v>
      </c>
      <c r="G24" s="228"/>
      <c r="H24" s="53"/>
      <c r="I24" s="53">
        <f t="shared" si="2"/>
        <v>0</v>
      </c>
      <c r="K24" s="52" t="s">
        <v>35</v>
      </c>
      <c r="L24" s="169">
        <v>5375342.512782</v>
      </c>
      <c r="M24" s="52" t="s">
        <v>46</v>
      </c>
      <c r="N24" s="238">
        <v>27227</v>
      </c>
      <c r="O24">
        <f t="shared" si="3"/>
        <v>197.42691125654682</v>
      </c>
      <c r="P24" s="52" t="s">
        <v>46</v>
      </c>
      <c r="Q24" s="53">
        <v>5030013.4298199993</v>
      </c>
      <c r="R24" s="250">
        <f t="shared" si="4"/>
        <v>184.7435791611268</v>
      </c>
      <c r="AB24" s="571"/>
      <c r="AC24" s="592">
        <f>C41/'Tables 9 &amp; 10'!C43</f>
        <v>439.80780071776121</v>
      </c>
      <c r="AD24" s="583">
        <f>ROUNDDOWN(AC24,0)</f>
        <v>439</v>
      </c>
      <c r="AE24" s="572"/>
      <c r="AF24" s="573"/>
    </row>
    <row r="25" spans="2:32" x14ac:dyDescent="0.2">
      <c r="B25" t="s">
        <v>47</v>
      </c>
      <c r="C25" s="48">
        <f t="shared" si="0"/>
        <v>7353603.8200000012</v>
      </c>
      <c r="D25" s="222">
        <v>2171695.2800000003</v>
      </c>
      <c r="E25" s="48">
        <v>5181528.8100000005</v>
      </c>
      <c r="F25" s="48">
        <f t="shared" si="1"/>
        <v>7353224.0900000008</v>
      </c>
      <c r="G25" s="222">
        <v>307.58</v>
      </c>
      <c r="H25" s="48">
        <v>72.150000000000006</v>
      </c>
      <c r="I25" s="48">
        <f t="shared" si="2"/>
        <v>379.73</v>
      </c>
      <c r="K25" s="52" t="s">
        <v>46</v>
      </c>
      <c r="L25" s="169">
        <v>5030013.4298199993</v>
      </c>
      <c r="M25" t="s">
        <v>47</v>
      </c>
      <c r="N25" s="238">
        <v>70724</v>
      </c>
      <c r="O25">
        <f t="shared" si="3"/>
        <v>71.121732789717768</v>
      </c>
      <c r="P25" t="s">
        <v>47</v>
      </c>
      <c r="Q25" s="48">
        <v>7101100.0963185001</v>
      </c>
      <c r="R25" s="250">
        <f t="shared" si="4"/>
        <v>100.40580420109863</v>
      </c>
    </row>
    <row r="26" spans="2:32" x14ac:dyDescent="0.2">
      <c r="B26" s="52" t="s">
        <v>48</v>
      </c>
      <c r="C26" s="53">
        <f t="shared" si="0"/>
        <v>1707586.83</v>
      </c>
      <c r="D26" s="228">
        <v>749107.54</v>
      </c>
      <c r="E26" s="53">
        <v>958479.29</v>
      </c>
      <c r="F26" s="53">
        <f t="shared" si="1"/>
        <v>1707586.83</v>
      </c>
      <c r="G26" s="228"/>
      <c r="H26" s="53"/>
      <c r="I26" s="53">
        <f t="shared" si="2"/>
        <v>0</v>
      </c>
      <c r="K26" t="s">
        <v>45</v>
      </c>
      <c r="L26" s="169">
        <v>3885423.3937600004</v>
      </c>
      <c r="M26" s="52" t="s">
        <v>48</v>
      </c>
      <c r="N26" s="238">
        <v>5052</v>
      </c>
      <c r="O26">
        <f t="shared" si="3"/>
        <v>769.0861824544736</v>
      </c>
      <c r="P26" s="52" t="s">
        <v>48</v>
      </c>
      <c r="Q26" s="53">
        <v>864957.79754399997</v>
      </c>
      <c r="R26" s="250">
        <f t="shared" si="4"/>
        <v>171.21096546793348</v>
      </c>
    </row>
    <row r="27" spans="2:32" x14ac:dyDescent="0.2">
      <c r="B27" t="s">
        <v>49</v>
      </c>
      <c r="C27" s="48">
        <f t="shared" si="0"/>
        <v>13442130.75</v>
      </c>
      <c r="D27" s="222">
        <v>7386052.0099999998</v>
      </c>
      <c r="E27" s="48">
        <v>6056078.7400000002</v>
      </c>
      <c r="F27" s="48">
        <f t="shared" si="1"/>
        <v>13442130.75</v>
      </c>
      <c r="G27" s="222"/>
      <c r="H27" s="48"/>
      <c r="I27" s="48">
        <f t="shared" si="2"/>
        <v>0</v>
      </c>
      <c r="K27" s="52" t="s">
        <v>60</v>
      </c>
      <c r="L27" s="169">
        <v>3727236.1870640004</v>
      </c>
      <c r="M27" t="s">
        <v>49</v>
      </c>
      <c r="N27" s="238">
        <v>62776</v>
      </c>
      <c r="O27">
        <f t="shared" si="3"/>
        <v>59.373585240601507</v>
      </c>
      <c r="P27" t="s">
        <v>49</v>
      </c>
      <c r="Q27" s="48">
        <v>7590211.865348001</v>
      </c>
      <c r="R27" s="250">
        <f t="shared" si="4"/>
        <v>120.90945369803748</v>
      </c>
    </row>
    <row r="28" spans="2:32" x14ac:dyDescent="0.2">
      <c r="B28" s="52" t="s">
        <v>50</v>
      </c>
      <c r="C28" s="53">
        <f t="shared" si="0"/>
        <v>2678892.33</v>
      </c>
      <c r="D28" s="228">
        <v>940062.91999999993</v>
      </c>
      <c r="E28" s="53">
        <v>1730008.08</v>
      </c>
      <c r="F28" s="53">
        <f t="shared" si="1"/>
        <v>2670071</v>
      </c>
      <c r="G28" s="228">
        <v>7142.26</v>
      </c>
      <c r="H28" s="53">
        <v>1679.07</v>
      </c>
      <c r="I28" s="53">
        <f t="shared" si="2"/>
        <v>8821.33</v>
      </c>
      <c r="K28" s="52" t="s">
        <v>54</v>
      </c>
      <c r="L28" s="169">
        <v>3684812.1064999998</v>
      </c>
      <c r="M28" s="52" t="s">
        <v>50</v>
      </c>
      <c r="N28" s="238">
        <v>8929</v>
      </c>
      <c r="O28">
        <f t="shared" si="3"/>
        <v>412.6791473289282</v>
      </c>
      <c r="P28" s="52" t="s">
        <v>50</v>
      </c>
      <c r="Q28" s="53">
        <v>1240373.6534815002</v>
      </c>
      <c r="R28" s="250">
        <f t="shared" si="4"/>
        <v>138.91518126122747</v>
      </c>
    </row>
    <row r="29" spans="2:32" x14ac:dyDescent="0.2">
      <c r="B29" t="s">
        <v>51</v>
      </c>
      <c r="C29" s="48">
        <f t="shared" si="0"/>
        <v>11975201.890000001</v>
      </c>
      <c r="D29" s="222">
        <v>3405324.7899999996</v>
      </c>
      <c r="E29" s="48">
        <v>4971980.0000000009</v>
      </c>
      <c r="F29" s="48">
        <f t="shared" si="1"/>
        <v>8377304.790000001</v>
      </c>
      <c r="G29" s="222">
        <v>2905228.95</v>
      </c>
      <c r="H29" s="48">
        <v>692668.15</v>
      </c>
      <c r="I29" s="48">
        <f t="shared" si="2"/>
        <v>3597897.1</v>
      </c>
      <c r="K29" s="52" t="s">
        <v>52</v>
      </c>
      <c r="L29" s="169">
        <v>3207228.8894694997</v>
      </c>
      <c r="M29" t="s">
        <v>51</v>
      </c>
      <c r="N29" s="238">
        <v>40692</v>
      </c>
      <c r="O29">
        <f t="shared" si="3"/>
        <v>78.817184937321827</v>
      </c>
      <c r="P29" t="s">
        <v>51</v>
      </c>
      <c r="Q29" s="48">
        <v>22905105.641509</v>
      </c>
      <c r="R29" s="250">
        <f t="shared" si="4"/>
        <v>562.88965009114816</v>
      </c>
    </row>
    <row r="30" spans="2:32" x14ac:dyDescent="0.2">
      <c r="B30" s="52" t="s">
        <v>52</v>
      </c>
      <c r="C30" s="53">
        <f t="shared" si="0"/>
        <v>7904100.7199999997</v>
      </c>
      <c r="D30" s="228">
        <v>2353016.33</v>
      </c>
      <c r="E30" s="53">
        <v>5365854.8499999996</v>
      </c>
      <c r="F30" s="53">
        <f t="shared" si="1"/>
        <v>7718871.1799999997</v>
      </c>
      <c r="G30" s="228">
        <v>152181.89000000001</v>
      </c>
      <c r="H30" s="53">
        <v>33047.65</v>
      </c>
      <c r="I30" s="53">
        <f t="shared" si="2"/>
        <v>185229.54</v>
      </c>
      <c r="K30" t="s">
        <v>34</v>
      </c>
      <c r="L30" s="169">
        <v>2926624.5830860003</v>
      </c>
      <c r="M30" s="52" t="s">
        <v>52</v>
      </c>
      <c r="N30" s="238">
        <v>18889</v>
      </c>
      <c r="O30">
        <f t="shared" si="3"/>
        <v>154.93803711609934</v>
      </c>
      <c r="P30" s="52" t="s">
        <v>52</v>
      </c>
      <c r="Q30" s="53">
        <v>3207228.8894694997</v>
      </c>
      <c r="R30" s="250">
        <f t="shared" si="4"/>
        <v>169.79347183384508</v>
      </c>
    </row>
    <row r="31" spans="2:32" x14ac:dyDescent="0.2">
      <c r="B31" t="s">
        <v>53</v>
      </c>
      <c r="C31" s="48">
        <f t="shared" si="0"/>
        <v>32565393.16</v>
      </c>
      <c r="D31" s="222">
        <v>13008429.940000001</v>
      </c>
      <c r="E31" s="48">
        <v>14643527.57</v>
      </c>
      <c r="F31" s="48">
        <f t="shared" si="1"/>
        <v>27651957.510000002</v>
      </c>
      <c r="G31" s="222">
        <v>4007213.1799999997</v>
      </c>
      <c r="H31" s="48">
        <v>906222.47</v>
      </c>
      <c r="I31" s="48">
        <f t="shared" si="2"/>
        <v>4913435.6499999994</v>
      </c>
      <c r="K31" t="s">
        <v>57</v>
      </c>
      <c r="L31" s="169">
        <v>2694555.3779610004</v>
      </c>
      <c r="M31" t="s">
        <v>53</v>
      </c>
      <c r="N31" s="238">
        <v>122500</v>
      </c>
      <c r="O31">
        <f t="shared" si="3"/>
        <v>21.996370432334697</v>
      </c>
      <c r="P31" t="s">
        <v>53</v>
      </c>
      <c r="Q31" s="48">
        <v>35987210.645899996</v>
      </c>
      <c r="R31" s="250">
        <f t="shared" si="4"/>
        <v>293.77314812979591</v>
      </c>
    </row>
    <row r="32" spans="2:32" x14ac:dyDescent="0.2">
      <c r="B32" s="52" t="s">
        <v>54</v>
      </c>
      <c r="C32" s="53">
        <f t="shared" si="0"/>
        <v>5836458.75</v>
      </c>
      <c r="D32" s="228">
        <v>2850368.51</v>
      </c>
      <c r="E32" s="53">
        <v>2986090.2399999998</v>
      </c>
      <c r="F32" s="53">
        <f t="shared" si="1"/>
        <v>5836458.75</v>
      </c>
      <c r="G32" s="228"/>
      <c r="H32" s="53"/>
      <c r="I32" s="53">
        <f t="shared" si="2"/>
        <v>0</v>
      </c>
      <c r="K32" s="52" t="s">
        <v>58</v>
      </c>
      <c r="L32" s="169">
        <v>2332529.4848700003</v>
      </c>
      <c r="M32" s="52" t="s">
        <v>54</v>
      </c>
      <c r="N32" s="238">
        <v>28558</v>
      </c>
      <c r="O32">
        <f t="shared" si="3"/>
        <v>81.676920122907774</v>
      </c>
      <c r="P32" s="52" t="s">
        <v>54</v>
      </c>
      <c r="Q32" s="53">
        <v>3684812.1064999998</v>
      </c>
      <c r="R32" s="250">
        <f t="shared" si="4"/>
        <v>129.02906738917289</v>
      </c>
    </row>
    <row r="33" spans="2:33" x14ac:dyDescent="0.2">
      <c r="B33" t="s">
        <v>55</v>
      </c>
      <c r="C33" s="48">
        <f t="shared" si="0"/>
        <v>39224601.5</v>
      </c>
      <c r="D33" s="222">
        <v>26210456.920000002</v>
      </c>
      <c r="E33" s="48">
        <v>11858372.9</v>
      </c>
      <c r="F33" s="48">
        <f t="shared" si="1"/>
        <v>38068829.82</v>
      </c>
      <c r="G33" s="222">
        <v>936915.7</v>
      </c>
      <c r="H33" s="48">
        <v>218855.98</v>
      </c>
      <c r="I33" s="48">
        <f t="shared" si="2"/>
        <v>1155771.68</v>
      </c>
      <c r="K33" s="52" t="s">
        <v>42</v>
      </c>
      <c r="L33" s="169">
        <v>1603331.9942999999</v>
      </c>
      <c r="M33" t="s">
        <v>55</v>
      </c>
      <c r="N33" s="238">
        <v>122298</v>
      </c>
      <c r="O33">
        <f t="shared" si="3"/>
        <v>13.110042636020212</v>
      </c>
      <c r="P33" t="s">
        <v>55</v>
      </c>
      <c r="Q33" s="48">
        <v>18515693.079924002</v>
      </c>
      <c r="R33" s="250">
        <f t="shared" si="4"/>
        <v>151.39816742648287</v>
      </c>
    </row>
    <row r="34" spans="2:33" x14ac:dyDescent="0.2">
      <c r="B34" s="52" t="s">
        <v>56</v>
      </c>
      <c r="C34" s="53">
        <f t="shared" si="0"/>
        <v>68446771.760000005</v>
      </c>
      <c r="D34" s="228">
        <v>44810100.689999998</v>
      </c>
      <c r="E34" s="53">
        <v>23636671.070000004</v>
      </c>
      <c r="F34" s="53">
        <f t="shared" si="1"/>
        <v>68446771.760000005</v>
      </c>
      <c r="G34" s="228"/>
      <c r="H34" s="53"/>
      <c r="I34" s="53">
        <f t="shared" si="2"/>
        <v>0</v>
      </c>
      <c r="K34" t="s">
        <v>61</v>
      </c>
      <c r="L34" s="169">
        <v>1379080.1795059997</v>
      </c>
      <c r="M34" s="52" t="s">
        <v>56</v>
      </c>
      <c r="N34" s="238">
        <v>143937</v>
      </c>
      <c r="O34">
        <f t="shared" si="3"/>
        <v>9.5811374386432924</v>
      </c>
      <c r="P34" s="52" t="s">
        <v>56</v>
      </c>
      <c r="Q34" s="53">
        <v>42746324.385660008</v>
      </c>
      <c r="R34" s="250">
        <f t="shared" si="4"/>
        <v>296.97940338939958</v>
      </c>
    </row>
    <row r="35" spans="2:33" x14ac:dyDescent="0.2">
      <c r="B35" t="s">
        <v>57</v>
      </c>
      <c r="C35" s="48">
        <f t="shared" si="0"/>
        <v>4086743.2</v>
      </c>
      <c r="D35" s="222">
        <v>2480015.0700000003</v>
      </c>
      <c r="E35" s="48">
        <v>1606728.13</v>
      </c>
      <c r="F35" s="48">
        <f t="shared" si="1"/>
        <v>4086743.2</v>
      </c>
      <c r="G35" s="222"/>
      <c r="H35" s="48"/>
      <c r="I35" s="48">
        <f t="shared" si="2"/>
        <v>0</v>
      </c>
      <c r="K35" s="52" t="s">
        <v>50</v>
      </c>
      <c r="L35" s="169">
        <v>1240373.6534815002</v>
      </c>
      <c r="M35" t="s">
        <v>57</v>
      </c>
      <c r="N35" s="238">
        <v>12437</v>
      </c>
      <c r="O35">
        <f t="shared" si="3"/>
        <v>99.732544301801099</v>
      </c>
      <c r="P35" t="s">
        <v>57</v>
      </c>
      <c r="Q35" s="48">
        <v>2694555.3779610004</v>
      </c>
      <c r="R35" s="250">
        <f t="shared" si="4"/>
        <v>216.65637838393508</v>
      </c>
    </row>
    <row r="36" spans="2:33" x14ac:dyDescent="0.2">
      <c r="B36" s="52" t="s">
        <v>58</v>
      </c>
      <c r="C36" s="53">
        <f t="shared" si="0"/>
        <v>4086597.85</v>
      </c>
      <c r="D36" s="228">
        <v>1889675.73</v>
      </c>
      <c r="E36" s="53">
        <v>2196922.12</v>
      </c>
      <c r="F36" s="53">
        <f t="shared" si="1"/>
        <v>4086597.85</v>
      </c>
      <c r="G36" s="228"/>
      <c r="H36" s="53"/>
      <c r="I36" s="53">
        <f t="shared" si="2"/>
        <v>0</v>
      </c>
      <c r="K36" t="s">
        <v>32</v>
      </c>
      <c r="L36" s="169">
        <v>1185616.2622529999</v>
      </c>
      <c r="M36" s="52" t="s">
        <v>58</v>
      </c>
      <c r="N36" s="238">
        <v>18180</v>
      </c>
      <c r="O36">
        <f t="shared" si="3"/>
        <v>65.215415965511554</v>
      </c>
      <c r="P36" s="52" t="s">
        <v>58</v>
      </c>
      <c r="Q36" s="53">
        <v>2332529.4848700003</v>
      </c>
      <c r="R36" s="250">
        <f t="shared" si="4"/>
        <v>128.30195186303632</v>
      </c>
    </row>
    <row r="37" spans="2:33" x14ac:dyDescent="0.2">
      <c r="B37" t="s">
        <v>59</v>
      </c>
      <c r="C37" s="48">
        <f t="shared" si="0"/>
        <v>15529937.390000001</v>
      </c>
      <c r="D37" s="222">
        <v>7647465.2400000002</v>
      </c>
      <c r="E37" s="48">
        <v>7882472.1500000004</v>
      </c>
      <c r="F37" s="48">
        <f t="shared" si="1"/>
        <v>15529937.390000001</v>
      </c>
      <c r="G37" s="222"/>
      <c r="H37" s="48"/>
      <c r="I37" s="48">
        <f t="shared" si="2"/>
        <v>0</v>
      </c>
      <c r="K37" s="52" t="s">
        <v>40</v>
      </c>
      <c r="L37" s="169">
        <v>1163194.6524479999</v>
      </c>
      <c r="M37" t="s">
        <v>59</v>
      </c>
      <c r="N37" s="238">
        <v>31546</v>
      </c>
      <c r="O37">
        <f t="shared" si="3"/>
        <v>36.872968124262975</v>
      </c>
      <c r="P37" t="s">
        <v>59</v>
      </c>
      <c r="Q37" s="48">
        <v>8787778.7235669997</v>
      </c>
      <c r="R37" s="250">
        <f t="shared" si="4"/>
        <v>278.57030126060357</v>
      </c>
    </row>
    <row r="38" spans="2:33" x14ac:dyDescent="0.2">
      <c r="B38" s="52" t="s">
        <v>60</v>
      </c>
      <c r="C38" s="53">
        <f t="shared" si="0"/>
        <v>6833784.79</v>
      </c>
      <c r="D38" s="228">
        <v>2744370.16</v>
      </c>
      <c r="E38" s="53">
        <v>4089414.63</v>
      </c>
      <c r="F38" s="53">
        <f t="shared" si="1"/>
        <v>6833784.79</v>
      </c>
      <c r="G38" s="228"/>
      <c r="H38" s="53"/>
      <c r="I38" s="53">
        <f t="shared" si="2"/>
        <v>0</v>
      </c>
      <c r="K38" s="52" t="s">
        <v>48</v>
      </c>
      <c r="L38" s="169">
        <v>864957.79754399997</v>
      </c>
      <c r="M38" s="52" t="s">
        <v>60</v>
      </c>
      <c r="N38" s="238">
        <v>16269</v>
      </c>
      <c r="O38">
        <f t="shared" si="3"/>
        <v>53.16600882316061</v>
      </c>
      <c r="P38" s="52" t="s">
        <v>60</v>
      </c>
      <c r="Q38" s="53">
        <v>3727236.1870640004</v>
      </c>
      <c r="R38" s="250">
        <f t="shared" si="4"/>
        <v>229.1005093775893</v>
      </c>
    </row>
    <row r="39" spans="2:33" x14ac:dyDescent="0.2">
      <c r="B39" t="s">
        <v>61</v>
      </c>
      <c r="C39" s="48">
        <f t="shared" si="0"/>
        <v>2214858.91</v>
      </c>
      <c r="D39" s="222">
        <v>453226.52999999997</v>
      </c>
      <c r="E39" s="48">
        <v>1682420.28</v>
      </c>
      <c r="F39" s="48">
        <f t="shared" si="1"/>
        <v>2135646.81</v>
      </c>
      <c r="G39" s="222">
        <v>64878.400000000001</v>
      </c>
      <c r="H39" s="48">
        <v>14333.7</v>
      </c>
      <c r="I39" s="48">
        <f t="shared" si="2"/>
        <v>79212.100000000006</v>
      </c>
      <c r="K39" t="s">
        <v>41</v>
      </c>
      <c r="L39" s="169">
        <v>793572.3648155001</v>
      </c>
      <c r="M39" t="s">
        <v>61</v>
      </c>
      <c r="N39" s="238">
        <v>3777</v>
      </c>
      <c r="O39">
        <f t="shared" si="3"/>
        <v>210.10653026621659</v>
      </c>
      <c r="P39" t="s">
        <v>61</v>
      </c>
      <c r="Q39" s="48">
        <v>1379080.1795059997</v>
      </c>
      <c r="R39" s="250">
        <f t="shared" si="4"/>
        <v>365.12580871220536</v>
      </c>
    </row>
    <row r="40" spans="2:33" x14ac:dyDescent="0.2">
      <c r="B40" s="52" t="s">
        <v>62</v>
      </c>
      <c r="C40" s="53">
        <f t="shared" si="0"/>
        <v>18681372.149999999</v>
      </c>
      <c r="D40" s="228">
        <v>10308270.239999998</v>
      </c>
      <c r="E40" s="53">
        <v>8373101.9100000001</v>
      </c>
      <c r="F40" s="53">
        <f t="shared" si="1"/>
        <v>18681372.149999999</v>
      </c>
      <c r="G40" s="228"/>
      <c r="H40" s="53"/>
      <c r="I40" s="53">
        <f t="shared" si="2"/>
        <v>0</v>
      </c>
      <c r="K40" s="52" t="s">
        <v>67</v>
      </c>
      <c r="L40" s="169">
        <v>589491.53411999997</v>
      </c>
      <c r="M40" s="52" t="s">
        <v>62</v>
      </c>
      <c r="N40" s="238">
        <v>72207</v>
      </c>
      <c r="O40">
        <f t="shared" si="3"/>
        <v>8.1639111737089198</v>
      </c>
      <c r="P40" s="52" t="s">
        <v>62</v>
      </c>
      <c r="Q40" s="53">
        <v>9414489.8172239996</v>
      </c>
      <c r="R40" s="250">
        <f t="shared" si="4"/>
        <v>130.38195489667206</v>
      </c>
    </row>
    <row r="41" spans="2:33" ht="13.5" thickBot="1" x14ac:dyDescent="0.25">
      <c r="B41" s="47" t="s">
        <v>63</v>
      </c>
      <c r="C41" s="223">
        <f>SUM(C8:C40)</f>
        <v>934810600.81000006</v>
      </c>
      <c r="D41" s="224">
        <f t="shared" ref="D41:I41" si="5">SUM(D8:D40)</f>
        <v>342548981.54000002</v>
      </c>
      <c r="E41" s="223">
        <f t="shared" si="5"/>
        <v>269978828.88000005</v>
      </c>
      <c r="F41" s="223">
        <f t="shared" si="5"/>
        <v>612527810.41999996</v>
      </c>
      <c r="G41" s="224">
        <f t="shared" si="5"/>
        <v>262159601.19999999</v>
      </c>
      <c r="H41" s="223">
        <f t="shared" si="5"/>
        <v>60123189.18999999</v>
      </c>
      <c r="I41" s="223">
        <f t="shared" si="5"/>
        <v>322282790.3900001</v>
      </c>
      <c r="L41" s="46"/>
    </row>
    <row r="42" spans="2:33" x14ac:dyDescent="0.2">
      <c r="B42" t="s">
        <v>417</v>
      </c>
      <c r="C42" s="225"/>
      <c r="D42" s="225"/>
      <c r="E42" s="225"/>
      <c r="F42" s="225"/>
      <c r="G42" s="225"/>
      <c r="H42" s="225"/>
      <c r="L42" s="169">
        <v>429553308.26394063</v>
      </c>
    </row>
    <row r="44" spans="2:33" x14ac:dyDescent="0.2">
      <c r="B44" s="7" t="s">
        <v>501</v>
      </c>
      <c r="C44" s="7"/>
      <c r="D44" s="7"/>
      <c r="E44" s="7"/>
      <c r="F44" s="7"/>
      <c r="G44" s="7"/>
      <c r="H44" s="7" t="str">
        <f>E2</f>
        <v>2025 Tax Year</v>
      </c>
      <c r="I44" s="7"/>
    </row>
    <row r="45" spans="2:33" ht="6.75" customHeight="1" x14ac:dyDescent="0.25">
      <c r="B45" s="73"/>
      <c r="C45" s="7"/>
      <c r="D45" s="7"/>
      <c r="E45" s="7"/>
      <c r="F45" s="7"/>
      <c r="G45" s="7"/>
      <c r="H45" s="7"/>
      <c r="I45" s="7"/>
    </row>
    <row r="46" spans="2:33" x14ac:dyDescent="0.2">
      <c r="C46" s="46"/>
      <c r="D46" s="124"/>
      <c r="E46" s="170"/>
      <c r="F46" s="170"/>
      <c r="G46" s="124" t="s">
        <v>4</v>
      </c>
      <c r="H46" s="170"/>
      <c r="I46" s="170"/>
    </row>
    <row r="47" spans="2:33" ht="13.5" thickBot="1" x14ac:dyDescent="0.25">
      <c r="B47" s="47" t="s">
        <v>27</v>
      </c>
      <c r="C47" s="219" t="s">
        <v>8</v>
      </c>
      <c r="D47" s="220" t="s">
        <v>9</v>
      </c>
      <c r="E47" s="67" t="s">
        <v>28</v>
      </c>
      <c r="F47" s="67" t="s">
        <v>29</v>
      </c>
      <c r="G47" s="221" t="s">
        <v>30</v>
      </c>
      <c r="H47" s="171" t="s">
        <v>10</v>
      </c>
      <c r="I47" s="171" t="s">
        <v>29</v>
      </c>
      <c r="O47" s="52" t="s">
        <v>56</v>
      </c>
      <c r="P47" s="169">
        <v>12804555.549797907</v>
      </c>
    </row>
    <row r="48" spans="2:33" ht="15" x14ac:dyDescent="0.2">
      <c r="B48" s="52" t="s">
        <v>31</v>
      </c>
      <c r="C48" s="53">
        <f>F48+I48</f>
        <v>28615882.629999999</v>
      </c>
      <c r="D48" s="228">
        <v>22072951.07</v>
      </c>
      <c r="E48" s="53">
        <v>6542931.5599999987</v>
      </c>
      <c r="F48" s="53">
        <f>SUM(D48:E48)</f>
        <v>28615882.629999999</v>
      </c>
      <c r="G48" s="553"/>
      <c r="H48" s="155"/>
      <c r="I48" s="53">
        <f>SUM(G48:H48)</f>
        <v>0</v>
      </c>
      <c r="K48" s="52" t="s">
        <v>31</v>
      </c>
      <c r="L48" s="169">
        <v>12603346.220959999</v>
      </c>
      <c r="O48" s="52" t="s">
        <v>31</v>
      </c>
      <c r="P48" s="169">
        <v>12603346.220959999</v>
      </c>
      <c r="AC48" s="559" t="s">
        <v>582</v>
      </c>
      <c r="AD48" s="560"/>
      <c r="AE48" s="560"/>
      <c r="AF48" s="560"/>
      <c r="AG48" s="560"/>
    </row>
    <row r="49" spans="2:36" ht="15" x14ac:dyDescent="0.2">
      <c r="B49" t="s">
        <v>32</v>
      </c>
      <c r="C49" s="48">
        <f t="shared" ref="C49:C80" si="6">F49+I49</f>
        <v>0</v>
      </c>
      <c r="D49" s="222">
        <v>0</v>
      </c>
      <c r="E49" s="48">
        <v>0</v>
      </c>
      <c r="F49" s="48">
        <f t="shared" ref="F49:F80" si="7">SUM(D49:E49)</f>
        <v>0</v>
      </c>
      <c r="G49" s="554"/>
      <c r="H49" s="157"/>
      <c r="I49" s="48">
        <f t="shared" ref="I49:I80" si="8">SUM(G49:H49)</f>
        <v>0</v>
      </c>
      <c r="K49" t="s">
        <v>32</v>
      </c>
      <c r="L49" s="169">
        <v>0</v>
      </c>
      <c r="O49" t="s">
        <v>55</v>
      </c>
      <c r="P49" s="169">
        <v>2228173.3417690597</v>
      </c>
      <c r="AC49" s="593" t="s">
        <v>589</v>
      </c>
      <c r="AD49" s="569"/>
      <c r="AE49" s="582"/>
      <c r="AF49" s="569"/>
      <c r="AG49" s="570"/>
    </row>
    <row r="50" spans="2:36" ht="15" x14ac:dyDescent="0.2">
      <c r="B50" s="52" t="s">
        <v>33</v>
      </c>
      <c r="C50" s="53">
        <f t="shared" si="6"/>
        <v>0</v>
      </c>
      <c r="D50" s="228">
        <v>0</v>
      </c>
      <c r="E50" s="53">
        <v>0</v>
      </c>
      <c r="F50" s="53">
        <f t="shared" si="7"/>
        <v>0</v>
      </c>
      <c r="G50" s="553"/>
      <c r="H50" s="155"/>
      <c r="I50" s="53">
        <f t="shared" si="8"/>
        <v>0</v>
      </c>
      <c r="K50" s="52" t="s">
        <v>33</v>
      </c>
      <c r="L50" s="169">
        <v>0</v>
      </c>
      <c r="O50" t="s">
        <v>39</v>
      </c>
      <c r="P50" s="169">
        <v>1091780.1211108791</v>
      </c>
      <c r="AC50" s="571">
        <f>COUNTIF(C48:C80,"&gt;0")</f>
        <v>10</v>
      </c>
      <c r="AD50" s="592"/>
      <c r="AE50" s="583"/>
      <c r="AF50" s="572"/>
      <c r="AG50" s="573"/>
    </row>
    <row r="51" spans="2:36" ht="15" x14ac:dyDescent="0.2">
      <c r="B51" t="s">
        <v>34</v>
      </c>
      <c r="C51" s="48">
        <f t="shared" si="6"/>
        <v>0</v>
      </c>
      <c r="D51" s="222">
        <v>0</v>
      </c>
      <c r="E51" s="48">
        <v>0</v>
      </c>
      <c r="F51" s="48">
        <f t="shared" si="7"/>
        <v>0</v>
      </c>
      <c r="G51" s="554"/>
      <c r="H51" s="157"/>
      <c r="I51" s="48">
        <f t="shared" si="8"/>
        <v>0</v>
      </c>
      <c r="K51" t="s">
        <v>34</v>
      </c>
      <c r="L51" s="169">
        <v>0</v>
      </c>
      <c r="O51" s="52" t="s">
        <v>62</v>
      </c>
      <c r="P51" s="169">
        <v>951430.13065646926</v>
      </c>
    </row>
    <row r="52" spans="2:36" ht="15" x14ac:dyDescent="0.2">
      <c r="B52" s="52" t="s">
        <v>35</v>
      </c>
      <c r="C52" s="53">
        <f t="shared" si="6"/>
        <v>0</v>
      </c>
      <c r="D52" s="228">
        <v>0</v>
      </c>
      <c r="E52" s="53">
        <v>0</v>
      </c>
      <c r="F52" s="53">
        <f t="shared" si="7"/>
        <v>0</v>
      </c>
      <c r="G52" s="553"/>
      <c r="H52" s="155"/>
      <c r="I52" s="53">
        <f t="shared" si="8"/>
        <v>0</v>
      </c>
      <c r="K52" s="52" t="s">
        <v>35</v>
      </c>
      <c r="L52" s="169">
        <v>0</v>
      </c>
      <c r="O52" t="s">
        <v>37</v>
      </c>
      <c r="P52" s="169">
        <v>549701.13554247958</v>
      </c>
    </row>
    <row r="53" spans="2:36" ht="15" x14ac:dyDescent="0.2">
      <c r="B53" t="s">
        <v>36</v>
      </c>
      <c r="C53" s="48">
        <f t="shared" si="6"/>
        <v>0</v>
      </c>
      <c r="D53" s="222">
        <v>0</v>
      </c>
      <c r="E53" s="48">
        <v>0</v>
      </c>
      <c r="F53" s="48">
        <f t="shared" si="7"/>
        <v>0</v>
      </c>
      <c r="G53" s="554"/>
      <c r="H53" s="157"/>
      <c r="I53" s="48">
        <f t="shared" si="8"/>
        <v>0</v>
      </c>
      <c r="K53" t="s">
        <v>36</v>
      </c>
      <c r="L53" s="169">
        <v>542166.98332277825</v>
      </c>
      <c r="O53" t="s">
        <v>36</v>
      </c>
      <c r="P53" s="169">
        <v>542166.98332277825</v>
      </c>
      <c r="AC53" s="591" t="s">
        <v>588</v>
      </c>
      <c r="AD53" s="569"/>
      <c r="AE53" s="569"/>
      <c r="AF53" s="569"/>
      <c r="AG53" s="585" t="s">
        <v>582</v>
      </c>
      <c r="AH53" s="569"/>
      <c r="AI53" s="569"/>
      <c r="AJ53" s="570"/>
    </row>
    <row r="54" spans="2:36" ht="15" x14ac:dyDescent="0.2">
      <c r="B54" s="52" t="s">
        <v>67</v>
      </c>
      <c r="C54" s="53">
        <f t="shared" si="6"/>
        <v>0</v>
      </c>
      <c r="D54" s="228">
        <v>0</v>
      </c>
      <c r="E54" s="53">
        <v>0</v>
      </c>
      <c r="F54" s="53">
        <f t="shared" si="7"/>
        <v>0</v>
      </c>
      <c r="G54" s="553"/>
      <c r="H54" s="155"/>
      <c r="I54" s="53">
        <f t="shared" si="8"/>
        <v>0</v>
      </c>
      <c r="K54" s="52" t="s">
        <v>67</v>
      </c>
      <c r="L54" s="169">
        <v>0</v>
      </c>
      <c r="O54" s="52" t="s">
        <v>58</v>
      </c>
      <c r="P54" s="169">
        <v>498021.1</v>
      </c>
      <c r="AC54" s="589" t="s">
        <v>590</v>
      </c>
      <c r="AD54" s="560"/>
      <c r="AE54" s="590">
        <f>LARGE(C48:C80,1)</f>
        <v>28615882.629999999</v>
      </c>
      <c r="AF54" s="560" t="str">
        <f>_xlfn.XLOOKUP(AE54,C48:C80,B48:B80)</f>
        <v>Bernalillo</v>
      </c>
      <c r="AG54" s="580" t="s">
        <v>587</v>
      </c>
      <c r="AH54" s="580"/>
      <c r="AI54" s="580"/>
      <c r="AJ54" s="586">
        <f>ROUNDDOWN(AE54/1000000,1)</f>
        <v>28.6</v>
      </c>
    </row>
    <row r="55" spans="2:36" ht="15" x14ac:dyDescent="0.2">
      <c r="B55" t="s">
        <v>37</v>
      </c>
      <c r="C55" s="48">
        <f t="shared" si="6"/>
        <v>487917.64</v>
      </c>
      <c r="D55" s="222">
        <v>359918.64</v>
      </c>
      <c r="E55" s="48">
        <v>127999</v>
      </c>
      <c r="F55" s="48">
        <f t="shared" si="7"/>
        <v>487917.64</v>
      </c>
      <c r="G55" s="554"/>
      <c r="H55" s="157"/>
      <c r="I55" s="48">
        <f t="shared" si="8"/>
        <v>0</v>
      </c>
      <c r="K55" t="s">
        <v>37</v>
      </c>
      <c r="L55" s="169">
        <v>549701.13554247958</v>
      </c>
      <c r="O55" s="52" t="s">
        <v>60</v>
      </c>
      <c r="P55" s="169">
        <v>332835.67741935485</v>
      </c>
      <c r="AC55" s="577" t="s">
        <v>591</v>
      </c>
      <c r="AD55" s="572"/>
      <c r="AE55" s="584">
        <f>LARGE(C48:C80,2)</f>
        <v>22494652.849999998</v>
      </c>
      <c r="AF55" s="572" t="str">
        <f>_xlfn.XLOOKUP(AE55,C48:C80,B48:B80)</f>
        <v>Santa Fe</v>
      </c>
      <c r="AG55" s="587" t="s">
        <v>587</v>
      </c>
      <c r="AH55" s="587"/>
      <c r="AI55" s="587"/>
      <c r="AJ55" s="594">
        <f>ROUNDDOWN(AE55/1000000,1)</f>
        <v>22.4</v>
      </c>
    </row>
    <row r="56" spans="2:36" ht="15" x14ac:dyDescent="0.2">
      <c r="B56" s="52" t="s">
        <v>38</v>
      </c>
      <c r="C56" s="53">
        <f t="shared" si="6"/>
        <v>0</v>
      </c>
      <c r="D56" s="228">
        <v>0</v>
      </c>
      <c r="E56" s="53">
        <v>0</v>
      </c>
      <c r="F56" s="53">
        <f t="shared" si="7"/>
        <v>0</v>
      </c>
      <c r="G56" s="553">
        <v>0</v>
      </c>
      <c r="H56" s="155">
        <v>0</v>
      </c>
      <c r="I56" s="53">
        <f t="shared" si="8"/>
        <v>0</v>
      </c>
      <c r="K56" s="52" t="s">
        <v>38</v>
      </c>
      <c r="L56" s="169">
        <v>0</v>
      </c>
      <c r="O56" s="52" t="s">
        <v>48</v>
      </c>
      <c r="P56" s="169">
        <v>162281.17158092847</v>
      </c>
    </row>
    <row r="57" spans="2:36" ht="15" x14ac:dyDescent="0.2">
      <c r="B57" t="s">
        <v>39</v>
      </c>
      <c r="C57" s="48">
        <f t="shared" si="6"/>
        <v>1077777.99</v>
      </c>
      <c r="D57" s="222">
        <v>592495.31000000006</v>
      </c>
      <c r="E57" s="48">
        <v>285713.51</v>
      </c>
      <c r="F57" s="48">
        <f t="shared" si="7"/>
        <v>878208.82000000007</v>
      </c>
      <c r="G57" s="554">
        <v>199569.17</v>
      </c>
      <c r="H57" s="157"/>
      <c r="I57" s="48">
        <f t="shared" si="8"/>
        <v>199569.17</v>
      </c>
      <c r="K57" t="s">
        <v>39</v>
      </c>
      <c r="L57" s="169">
        <v>1091780.1211108791</v>
      </c>
      <c r="O57" t="s">
        <v>32</v>
      </c>
      <c r="P57" s="169">
        <v>0</v>
      </c>
    </row>
    <row r="58" spans="2:36" ht="15" x14ac:dyDescent="0.2">
      <c r="B58" s="52" t="s">
        <v>40</v>
      </c>
      <c r="C58" s="53">
        <f t="shared" si="6"/>
        <v>0</v>
      </c>
      <c r="D58" s="228">
        <v>0</v>
      </c>
      <c r="E58" s="53">
        <v>0</v>
      </c>
      <c r="F58" s="53">
        <f t="shared" si="7"/>
        <v>0</v>
      </c>
      <c r="G58" s="553"/>
      <c r="H58" s="155"/>
      <c r="I58" s="53">
        <f t="shared" si="8"/>
        <v>0</v>
      </c>
      <c r="K58" s="52" t="s">
        <v>40</v>
      </c>
      <c r="L58" s="169">
        <v>0</v>
      </c>
      <c r="O58" s="52" t="s">
        <v>33</v>
      </c>
      <c r="P58" s="169">
        <v>0</v>
      </c>
    </row>
    <row r="59" spans="2:36" ht="15" x14ac:dyDescent="0.2">
      <c r="B59" t="s">
        <v>41</v>
      </c>
      <c r="C59" s="48">
        <f t="shared" si="6"/>
        <v>0</v>
      </c>
      <c r="D59" s="222">
        <v>0</v>
      </c>
      <c r="E59" s="48">
        <v>0</v>
      </c>
      <c r="F59" s="48">
        <f t="shared" si="7"/>
        <v>0</v>
      </c>
      <c r="G59" s="554">
        <v>0</v>
      </c>
      <c r="H59" s="157">
        <v>0</v>
      </c>
      <c r="I59" s="48">
        <f t="shared" si="8"/>
        <v>0</v>
      </c>
      <c r="K59" t="s">
        <v>41</v>
      </c>
      <c r="L59" s="169">
        <v>0</v>
      </c>
      <c r="O59" t="s">
        <v>34</v>
      </c>
      <c r="P59" s="169">
        <v>0</v>
      </c>
    </row>
    <row r="60" spans="2:36" ht="15" x14ac:dyDescent="0.2">
      <c r="B60" s="52" t="s">
        <v>42</v>
      </c>
      <c r="C60" s="53">
        <f t="shared" si="6"/>
        <v>0</v>
      </c>
      <c r="D60" s="228">
        <v>0</v>
      </c>
      <c r="E60" s="53">
        <v>0</v>
      </c>
      <c r="F60" s="53">
        <f t="shared" si="7"/>
        <v>0</v>
      </c>
      <c r="G60" s="553"/>
      <c r="H60" s="155"/>
      <c r="I60" s="53">
        <f t="shared" si="8"/>
        <v>0</v>
      </c>
      <c r="K60" s="52" t="s">
        <v>42</v>
      </c>
      <c r="L60" s="169">
        <v>0</v>
      </c>
      <c r="O60" s="52" t="s">
        <v>35</v>
      </c>
      <c r="P60" s="169">
        <v>0</v>
      </c>
    </row>
    <row r="61" spans="2:36" ht="15" x14ac:dyDescent="0.2">
      <c r="B61" t="s">
        <v>43</v>
      </c>
      <c r="C61" s="48">
        <f t="shared" si="6"/>
        <v>0</v>
      </c>
      <c r="D61" s="222">
        <v>0</v>
      </c>
      <c r="E61" s="48">
        <v>0</v>
      </c>
      <c r="F61" s="48">
        <f t="shared" si="7"/>
        <v>0</v>
      </c>
      <c r="G61" s="554">
        <v>0</v>
      </c>
      <c r="H61" s="157">
        <v>0</v>
      </c>
      <c r="I61" s="48">
        <f t="shared" si="8"/>
        <v>0</v>
      </c>
      <c r="K61" t="s">
        <v>43</v>
      </c>
      <c r="L61" s="169">
        <v>0</v>
      </c>
      <c r="O61" s="52" t="s">
        <v>67</v>
      </c>
      <c r="P61" s="169">
        <v>0</v>
      </c>
    </row>
    <row r="62" spans="2:36" ht="15" x14ac:dyDescent="0.2">
      <c r="B62" s="52" t="s">
        <v>44</v>
      </c>
      <c r="C62" s="53">
        <f t="shared" si="6"/>
        <v>0</v>
      </c>
      <c r="D62" s="228">
        <v>0</v>
      </c>
      <c r="E62" s="53">
        <v>0</v>
      </c>
      <c r="F62" s="53">
        <f t="shared" si="7"/>
        <v>0</v>
      </c>
      <c r="G62" s="553"/>
      <c r="H62" s="155"/>
      <c r="I62" s="53">
        <f t="shared" si="8"/>
        <v>0</v>
      </c>
      <c r="K62" s="52" t="s">
        <v>44</v>
      </c>
      <c r="L62" s="169">
        <v>0</v>
      </c>
      <c r="O62" s="52" t="s">
        <v>38</v>
      </c>
      <c r="P62" s="169">
        <v>0</v>
      </c>
    </row>
    <row r="63" spans="2:36" ht="15" x14ac:dyDescent="0.2">
      <c r="B63" t="s">
        <v>45</v>
      </c>
      <c r="C63" s="48">
        <f t="shared" si="6"/>
        <v>0</v>
      </c>
      <c r="D63" s="222">
        <v>0</v>
      </c>
      <c r="E63" s="48">
        <v>0</v>
      </c>
      <c r="F63" s="48">
        <f t="shared" si="7"/>
        <v>0</v>
      </c>
      <c r="G63" s="554"/>
      <c r="H63" s="157"/>
      <c r="I63" s="48">
        <f t="shared" si="8"/>
        <v>0</v>
      </c>
      <c r="K63" t="s">
        <v>45</v>
      </c>
      <c r="L63" s="169">
        <v>0</v>
      </c>
      <c r="O63" s="52" t="s">
        <v>40</v>
      </c>
      <c r="P63" s="169">
        <v>0</v>
      </c>
    </row>
    <row r="64" spans="2:36" ht="15" x14ac:dyDescent="0.2">
      <c r="B64" s="52" t="s">
        <v>46</v>
      </c>
      <c r="C64" s="53">
        <f t="shared" si="6"/>
        <v>0</v>
      </c>
      <c r="D64" s="228">
        <v>0</v>
      </c>
      <c r="E64" s="53">
        <v>0</v>
      </c>
      <c r="F64" s="53">
        <f t="shared" si="7"/>
        <v>0</v>
      </c>
      <c r="G64" s="553"/>
      <c r="H64" s="155"/>
      <c r="I64" s="53">
        <f t="shared" si="8"/>
        <v>0</v>
      </c>
      <c r="K64" s="52" t="s">
        <v>46</v>
      </c>
      <c r="L64" s="169">
        <v>0</v>
      </c>
      <c r="O64" t="s">
        <v>41</v>
      </c>
      <c r="P64" s="169">
        <v>0</v>
      </c>
    </row>
    <row r="65" spans="2:16" ht="15" x14ac:dyDescent="0.2">
      <c r="B65" t="s">
        <v>47</v>
      </c>
      <c r="C65" s="48">
        <f t="shared" si="6"/>
        <v>0</v>
      </c>
      <c r="D65" s="222">
        <v>0</v>
      </c>
      <c r="E65" s="48">
        <v>0</v>
      </c>
      <c r="F65" s="48">
        <f t="shared" si="7"/>
        <v>0</v>
      </c>
      <c r="G65" s="554">
        <v>0</v>
      </c>
      <c r="H65" s="157">
        <v>0</v>
      </c>
      <c r="I65" s="48">
        <f t="shared" si="8"/>
        <v>0</v>
      </c>
      <c r="K65" t="s">
        <v>47</v>
      </c>
      <c r="L65" s="169">
        <v>0</v>
      </c>
      <c r="O65" s="52" t="s">
        <v>42</v>
      </c>
      <c r="P65" s="169">
        <v>0</v>
      </c>
    </row>
    <row r="66" spans="2:16" ht="15" x14ac:dyDescent="0.2">
      <c r="B66" s="52" t="s">
        <v>48</v>
      </c>
      <c r="C66" s="53">
        <f t="shared" si="6"/>
        <v>257161.88</v>
      </c>
      <c r="D66" s="228">
        <v>140203.14000000001</v>
      </c>
      <c r="E66" s="53">
        <v>116958.74</v>
      </c>
      <c r="F66" s="53">
        <f t="shared" si="7"/>
        <v>257161.88</v>
      </c>
      <c r="G66" s="553"/>
      <c r="H66" s="155"/>
      <c r="I66" s="53">
        <f t="shared" si="8"/>
        <v>0</v>
      </c>
      <c r="K66" s="52" t="s">
        <v>48</v>
      </c>
      <c r="L66" s="169">
        <v>162281.17158092847</v>
      </c>
      <c r="O66" t="s">
        <v>43</v>
      </c>
      <c r="P66" s="169">
        <v>0</v>
      </c>
    </row>
    <row r="67" spans="2:16" ht="15" x14ac:dyDescent="0.2">
      <c r="B67" t="s">
        <v>49</v>
      </c>
      <c r="C67" s="48">
        <f t="shared" si="6"/>
        <v>0</v>
      </c>
      <c r="D67" s="222">
        <v>0</v>
      </c>
      <c r="E67" s="48">
        <v>0</v>
      </c>
      <c r="F67" s="48">
        <f t="shared" si="7"/>
        <v>0</v>
      </c>
      <c r="G67" s="554"/>
      <c r="H67" s="157"/>
      <c r="I67" s="48">
        <f t="shared" si="8"/>
        <v>0</v>
      </c>
      <c r="K67" t="s">
        <v>49</v>
      </c>
      <c r="L67" s="169">
        <v>0</v>
      </c>
      <c r="O67" s="52" t="s">
        <v>44</v>
      </c>
      <c r="P67" s="169">
        <v>0</v>
      </c>
    </row>
    <row r="68" spans="2:16" ht="15" x14ac:dyDescent="0.2">
      <c r="B68" s="52" t="s">
        <v>50</v>
      </c>
      <c r="C68" s="53">
        <f t="shared" si="6"/>
        <v>0</v>
      </c>
      <c r="D68" s="228">
        <v>0</v>
      </c>
      <c r="E68" s="53">
        <v>0</v>
      </c>
      <c r="F68" s="53">
        <f t="shared" si="7"/>
        <v>0</v>
      </c>
      <c r="G68" s="553">
        <v>0</v>
      </c>
      <c r="H68" s="155">
        <v>0</v>
      </c>
      <c r="I68" s="53">
        <f t="shared" si="8"/>
        <v>0</v>
      </c>
      <c r="K68" s="52" t="s">
        <v>50</v>
      </c>
      <c r="L68" s="169">
        <v>0</v>
      </c>
      <c r="O68" t="s">
        <v>45</v>
      </c>
      <c r="P68" s="169">
        <v>0</v>
      </c>
    </row>
    <row r="69" spans="2:16" ht="15" x14ac:dyDescent="0.2">
      <c r="B69" t="s">
        <v>51</v>
      </c>
      <c r="C69" s="48">
        <f t="shared" si="6"/>
        <v>3939981.79</v>
      </c>
      <c r="D69" s="222">
        <v>1873889.1</v>
      </c>
      <c r="E69" s="48">
        <v>1207151.69</v>
      </c>
      <c r="F69" s="48">
        <f t="shared" si="7"/>
        <v>3081040.79</v>
      </c>
      <c r="G69" s="554">
        <v>693577.44</v>
      </c>
      <c r="H69" s="157">
        <v>165363.56</v>
      </c>
      <c r="I69" s="48">
        <f t="shared" si="8"/>
        <v>858941</v>
      </c>
      <c r="K69" t="s">
        <v>51</v>
      </c>
      <c r="L69" s="169">
        <v>0</v>
      </c>
      <c r="O69" s="52" t="s">
        <v>46</v>
      </c>
      <c r="P69" s="169">
        <v>0</v>
      </c>
    </row>
    <row r="70" spans="2:16" ht="15" x14ac:dyDescent="0.2">
      <c r="B70" s="52" t="s">
        <v>52</v>
      </c>
      <c r="C70" s="53">
        <f t="shared" si="6"/>
        <v>0</v>
      </c>
      <c r="D70" s="228">
        <v>0</v>
      </c>
      <c r="E70" s="53">
        <v>0</v>
      </c>
      <c r="F70" s="53">
        <f t="shared" si="7"/>
        <v>0</v>
      </c>
      <c r="G70" s="553">
        <v>0</v>
      </c>
      <c r="H70" s="155">
        <v>0</v>
      </c>
      <c r="I70" s="53">
        <f t="shared" si="8"/>
        <v>0</v>
      </c>
      <c r="K70" s="52" t="s">
        <v>52</v>
      </c>
      <c r="L70" s="169">
        <v>0</v>
      </c>
      <c r="O70" t="s">
        <v>47</v>
      </c>
      <c r="P70" s="169">
        <v>0</v>
      </c>
    </row>
    <row r="71" spans="2:16" ht="15" x14ac:dyDescent="0.2">
      <c r="B71" t="s">
        <v>53</v>
      </c>
      <c r="C71" s="48">
        <f t="shared" si="6"/>
        <v>0</v>
      </c>
      <c r="D71" s="222">
        <v>0</v>
      </c>
      <c r="E71" s="48">
        <v>0</v>
      </c>
      <c r="F71" s="48">
        <f t="shared" si="7"/>
        <v>0</v>
      </c>
      <c r="G71" s="554">
        <v>0</v>
      </c>
      <c r="H71" s="157">
        <v>0</v>
      </c>
      <c r="I71" s="48">
        <f t="shared" si="8"/>
        <v>0</v>
      </c>
      <c r="K71" t="s">
        <v>53</v>
      </c>
      <c r="L71" s="169">
        <v>0</v>
      </c>
      <c r="O71" t="s">
        <v>49</v>
      </c>
      <c r="P71" s="169">
        <v>0</v>
      </c>
    </row>
    <row r="72" spans="2:16" ht="15" x14ac:dyDescent="0.2">
      <c r="B72" s="52" t="s">
        <v>54</v>
      </c>
      <c r="C72" s="53">
        <f t="shared" si="6"/>
        <v>0</v>
      </c>
      <c r="D72" s="228">
        <v>0</v>
      </c>
      <c r="E72" s="53">
        <v>0</v>
      </c>
      <c r="F72" s="53">
        <f t="shared" si="7"/>
        <v>0</v>
      </c>
      <c r="G72" s="553"/>
      <c r="H72" s="155"/>
      <c r="I72" s="53">
        <f t="shared" si="8"/>
        <v>0</v>
      </c>
      <c r="K72" s="52" t="s">
        <v>54</v>
      </c>
      <c r="L72" s="169">
        <v>0</v>
      </c>
      <c r="O72" s="52" t="s">
        <v>50</v>
      </c>
      <c r="P72" s="169">
        <v>0</v>
      </c>
    </row>
    <row r="73" spans="2:16" ht="15" x14ac:dyDescent="0.2">
      <c r="B73" t="s">
        <v>55</v>
      </c>
      <c r="C73" s="48">
        <f t="shared" si="6"/>
        <v>2294502.09</v>
      </c>
      <c r="D73" s="222">
        <v>1673104.6400000001</v>
      </c>
      <c r="E73" s="48">
        <v>580303.34</v>
      </c>
      <c r="F73" s="48">
        <f t="shared" si="7"/>
        <v>2253407.98</v>
      </c>
      <c r="G73" s="554">
        <v>33312.559999999998</v>
      </c>
      <c r="H73" s="157">
        <v>7781.55</v>
      </c>
      <c r="I73" s="48">
        <f t="shared" si="8"/>
        <v>41094.11</v>
      </c>
      <c r="K73" t="s">
        <v>55</v>
      </c>
      <c r="L73" s="169">
        <v>2228173.3417690597</v>
      </c>
      <c r="O73" t="s">
        <v>51</v>
      </c>
      <c r="P73" s="169">
        <v>0</v>
      </c>
    </row>
    <row r="74" spans="2:16" ht="15" x14ac:dyDescent="0.2">
      <c r="B74" s="52" t="s">
        <v>56</v>
      </c>
      <c r="C74" s="53">
        <f t="shared" si="6"/>
        <v>22494652.849999998</v>
      </c>
      <c r="D74" s="228">
        <v>18248030.669999998</v>
      </c>
      <c r="E74" s="53">
        <v>4246622.1800000006</v>
      </c>
      <c r="F74" s="53">
        <f t="shared" si="7"/>
        <v>22494652.849999998</v>
      </c>
      <c r="G74" s="553"/>
      <c r="H74" s="155"/>
      <c r="I74" s="53">
        <f t="shared" si="8"/>
        <v>0</v>
      </c>
      <c r="K74" s="52" t="s">
        <v>56</v>
      </c>
      <c r="L74" s="169">
        <v>12804555.549797907</v>
      </c>
      <c r="O74" s="52" t="s">
        <v>52</v>
      </c>
      <c r="P74" s="169">
        <v>0</v>
      </c>
    </row>
    <row r="75" spans="2:16" ht="15" x14ac:dyDescent="0.2">
      <c r="B75" t="s">
        <v>57</v>
      </c>
      <c r="C75" s="48">
        <f t="shared" si="6"/>
        <v>0</v>
      </c>
      <c r="D75" s="222">
        <v>0</v>
      </c>
      <c r="E75" s="48">
        <v>0</v>
      </c>
      <c r="F75" s="48">
        <f t="shared" si="7"/>
        <v>0</v>
      </c>
      <c r="G75" s="554"/>
      <c r="H75" s="157"/>
      <c r="I75" s="48">
        <f t="shared" si="8"/>
        <v>0</v>
      </c>
      <c r="K75" t="s">
        <v>57</v>
      </c>
      <c r="L75" s="169">
        <v>0</v>
      </c>
      <c r="O75" t="s">
        <v>53</v>
      </c>
      <c r="P75" s="169">
        <v>0</v>
      </c>
    </row>
    <row r="76" spans="2:16" ht="15" x14ac:dyDescent="0.2">
      <c r="B76" s="52" t="s">
        <v>58</v>
      </c>
      <c r="C76" s="53">
        <f t="shared" si="6"/>
        <v>424067.83999999997</v>
      </c>
      <c r="D76" s="228">
        <v>214386.91</v>
      </c>
      <c r="E76" s="53">
        <v>209680.93</v>
      </c>
      <c r="F76" s="61">
        <f t="shared" si="7"/>
        <v>424067.83999999997</v>
      </c>
      <c r="G76" s="553"/>
      <c r="H76" s="155"/>
      <c r="I76" s="53">
        <f t="shared" si="8"/>
        <v>0</v>
      </c>
      <c r="K76" s="52" t="s">
        <v>58</v>
      </c>
      <c r="L76" s="169">
        <v>498021.1</v>
      </c>
      <c r="O76" s="52" t="s">
        <v>54</v>
      </c>
      <c r="P76" s="169">
        <v>0</v>
      </c>
    </row>
    <row r="77" spans="2:16" ht="15" x14ac:dyDescent="0.2">
      <c r="B77" t="s">
        <v>59</v>
      </c>
      <c r="C77" s="48">
        <f t="shared" si="6"/>
        <v>0</v>
      </c>
      <c r="D77" s="222">
        <v>0</v>
      </c>
      <c r="E77" s="48">
        <v>0</v>
      </c>
      <c r="F77" s="226">
        <f t="shared" si="7"/>
        <v>0</v>
      </c>
      <c r="G77" s="554"/>
      <c r="H77" s="157"/>
      <c r="I77" s="48">
        <f t="shared" si="8"/>
        <v>0</v>
      </c>
      <c r="K77" t="s">
        <v>59</v>
      </c>
      <c r="L77" s="169">
        <v>0</v>
      </c>
      <c r="O77" t="s">
        <v>57</v>
      </c>
      <c r="P77" s="169">
        <v>0</v>
      </c>
    </row>
    <row r="78" spans="2:16" ht="15" x14ac:dyDescent="0.2">
      <c r="B78" s="52" t="s">
        <v>60</v>
      </c>
      <c r="C78" s="53">
        <f t="shared" si="6"/>
        <v>108514.58</v>
      </c>
      <c r="D78" s="228">
        <v>42381.41</v>
      </c>
      <c r="E78" s="53">
        <v>66133.17</v>
      </c>
      <c r="F78" s="61">
        <f t="shared" si="7"/>
        <v>108514.58</v>
      </c>
      <c r="G78" s="553"/>
      <c r="H78" s="155"/>
      <c r="I78" s="53">
        <f t="shared" si="8"/>
        <v>0</v>
      </c>
      <c r="K78" s="52" t="s">
        <v>60</v>
      </c>
      <c r="L78" s="169">
        <v>332835.67741935485</v>
      </c>
      <c r="O78" t="s">
        <v>59</v>
      </c>
      <c r="P78" s="169">
        <v>0</v>
      </c>
    </row>
    <row r="79" spans="2:16" ht="15" x14ac:dyDescent="0.2">
      <c r="B79" t="s">
        <v>61</v>
      </c>
      <c r="C79" s="48">
        <f t="shared" si="6"/>
        <v>0</v>
      </c>
      <c r="D79" s="222">
        <v>0</v>
      </c>
      <c r="E79" s="48">
        <v>0</v>
      </c>
      <c r="F79" s="226">
        <f t="shared" si="7"/>
        <v>0</v>
      </c>
      <c r="G79" s="554">
        <v>0</v>
      </c>
      <c r="H79" s="157">
        <v>0</v>
      </c>
      <c r="I79" s="48">
        <f t="shared" si="8"/>
        <v>0</v>
      </c>
      <c r="K79" t="s">
        <v>61</v>
      </c>
      <c r="L79" s="169">
        <v>0</v>
      </c>
      <c r="O79" t="s">
        <v>61</v>
      </c>
      <c r="P79" s="169">
        <v>0</v>
      </c>
    </row>
    <row r="80" spans="2:16" ht="15" x14ac:dyDescent="0.2">
      <c r="B80" s="52" t="s">
        <v>62</v>
      </c>
      <c r="C80" s="53">
        <f t="shared" si="6"/>
        <v>1575782.73</v>
      </c>
      <c r="D80" s="228">
        <v>1074766.9099999999</v>
      </c>
      <c r="E80" s="53">
        <v>501015.81999999995</v>
      </c>
      <c r="F80" s="61">
        <f t="shared" si="7"/>
        <v>1575782.73</v>
      </c>
      <c r="G80" s="553"/>
      <c r="H80" s="155"/>
      <c r="I80" s="53">
        <f t="shared" si="8"/>
        <v>0</v>
      </c>
      <c r="K80" s="52" t="s">
        <v>62</v>
      </c>
      <c r="L80" s="169">
        <v>951430.13065646926</v>
      </c>
    </row>
    <row r="81" spans="2:12" ht="13.5" thickBot="1" x14ac:dyDescent="0.25">
      <c r="B81" s="47" t="s">
        <v>63</v>
      </c>
      <c r="C81" s="223">
        <f>SUM(C48:C80)</f>
        <v>61276242.019999988</v>
      </c>
      <c r="D81" s="224">
        <f t="shared" ref="D81:I81" si="9">SUM(D48:D80)</f>
        <v>46292127.79999999</v>
      </c>
      <c r="E81" s="223">
        <f t="shared" si="9"/>
        <v>13884509.939999999</v>
      </c>
      <c r="F81" s="227">
        <f t="shared" si="9"/>
        <v>60176637.739999987</v>
      </c>
      <c r="G81" s="223">
        <f t="shared" si="9"/>
        <v>926459.16999999993</v>
      </c>
      <c r="H81" s="223">
        <f t="shared" si="9"/>
        <v>173145.11</v>
      </c>
      <c r="I81" s="223">
        <f t="shared" si="9"/>
        <v>1099604.28</v>
      </c>
      <c r="L81">
        <v>31764291.432159856</v>
      </c>
    </row>
    <row r="82" spans="2:12" x14ac:dyDescent="0.2">
      <c r="B82" t="s">
        <v>417</v>
      </c>
      <c r="C82" s="225"/>
      <c r="D82" s="225"/>
      <c r="E82" s="225"/>
      <c r="F82" s="225"/>
      <c r="G82" s="225"/>
      <c r="H82" s="225"/>
    </row>
    <row r="85" spans="2:12" x14ac:dyDescent="0.2">
      <c r="B85" s="633">
        <f>'Tables 13 &amp; 14'!B86:I86+1</f>
        <v>16</v>
      </c>
      <c r="C85" s="633"/>
      <c r="D85" s="633"/>
      <c r="E85" s="633"/>
      <c r="F85" s="633"/>
      <c r="G85" s="633"/>
      <c r="H85" s="633"/>
      <c r="I85" s="633"/>
    </row>
    <row r="88" spans="2:12" x14ac:dyDescent="0.2">
      <c r="C88" s="169"/>
      <c r="D88" s="169"/>
      <c r="E88" s="169"/>
      <c r="G88" s="169"/>
    </row>
    <row r="89" spans="2:12" x14ac:dyDescent="0.2">
      <c r="D89" s="48"/>
      <c r="E89" s="48"/>
      <c r="G89" s="48"/>
    </row>
  </sheetData>
  <mergeCells count="1">
    <mergeCell ref="B85:I85"/>
  </mergeCells>
  <phoneticPr fontId="38" type="noConversion"/>
  <pageMargins left="0.75" right="0.75" top="1" bottom="1" header="0.5" footer="0.5"/>
  <pageSetup scale="49" orientation="portrait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C1:O61"/>
  <sheetViews>
    <sheetView showGridLines="0" workbookViewId="0">
      <selection activeCell="M5" sqref="M5"/>
    </sheetView>
  </sheetViews>
  <sheetFormatPr defaultRowHeight="12.75" x14ac:dyDescent="0.2"/>
  <cols>
    <col min="2" max="2" width="3.5703125" customWidth="1"/>
  </cols>
  <sheetData>
    <row r="1" spans="3:15" ht="15.75" x14ac:dyDescent="0.25">
      <c r="C1" s="1" t="s">
        <v>437</v>
      </c>
      <c r="M1" s="649" t="s">
        <v>477</v>
      </c>
      <c r="N1" s="649"/>
      <c r="O1" s="649"/>
    </row>
    <row r="2" spans="3:15" ht="15.75" x14ac:dyDescent="0.25">
      <c r="C2" s="3" t="s">
        <v>458</v>
      </c>
      <c r="M2" s="649"/>
      <c r="N2" s="649"/>
      <c r="O2" s="649"/>
    </row>
    <row r="3" spans="3:15" x14ac:dyDescent="0.2">
      <c r="M3" s="649"/>
      <c r="N3" s="649"/>
      <c r="O3" s="649"/>
    </row>
    <row r="4" spans="3:15" ht="18" x14ac:dyDescent="0.25">
      <c r="C4" s="648" t="s">
        <v>469</v>
      </c>
      <c r="D4" s="648"/>
      <c r="E4" s="648"/>
      <c r="F4" s="648"/>
      <c r="G4" s="648"/>
      <c r="H4" s="648"/>
      <c r="I4" s="648"/>
      <c r="J4" s="648"/>
      <c r="K4" s="648"/>
      <c r="L4" s="648"/>
      <c r="M4" s="649"/>
      <c r="N4" s="649"/>
      <c r="O4" s="649"/>
    </row>
    <row r="5" spans="3:15" ht="18" x14ac:dyDescent="0.25">
      <c r="C5" s="239"/>
      <c r="D5" s="239"/>
      <c r="E5" s="239"/>
      <c r="F5" s="302" t="s">
        <v>463</v>
      </c>
      <c r="G5" s="239"/>
      <c r="H5" s="239"/>
      <c r="I5" s="239"/>
      <c r="J5" s="239"/>
      <c r="K5" s="239"/>
      <c r="L5" s="239"/>
    </row>
    <row r="6" spans="3:15" ht="18" x14ac:dyDescent="0.25">
      <c r="C6" s="239"/>
      <c r="D6" s="239"/>
      <c r="E6" s="239"/>
      <c r="F6" s="239"/>
      <c r="G6" s="239"/>
      <c r="H6" s="239"/>
      <c r="I6" s="239"/>
      <c r="J6" s="239"/>
      <c r="K6" s="239"/>
      <c r="L6" s="239"/>
    </row>
    <row r="61" spans="3:13" x14ac:dyDescent="0.2">
      <c r="C61" s="646">
        <f>'Tables 15 &amp; 16'!B85+1</f>
        <v>17</v>
      </c>
      <c r="D61" s="646"/>
      <c r="E61" s="646"/>
      <c r="F61" s="646"/>
      <c r="G61" s="646"/>
      <c r="H61" s="646"/>
      <c r="I61" s="646"/>
      <c r="J61" s="646"/>
      <c r="K61" s="646"/>
      <c r="L61" s="646"/>
      <c r="M61" s="646"/>
    </row>
  </sheetData>
  <mergeCells count="3">
    <mergeCell ref="C4:L4"/>
    <mergeCell ref="C61:M61"/>
    <mergeCell ref="M1:O4"/>
  </mergeCells>
  <phoneticPr fontId="38" type="noConversion"/>
  <pageMargins left="0.4" right="0.36" top="0.41" bottom="0.53" header="0.33" footer="0.5"/>
  <pageSetup scale="9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18</vt:i4>
      </vt:variant>
    </vt:vector>
  </HeadingPairs>
  <TitlesOfParts>
    <vt:vector size="36" baseType="lpstr">
      <vt:lpstr>table 1 &amp; 2</vt:lpstr>
      <vt:lpstr>Tables 3,4,&amp;5</vt:lpstr>
      <vt:lpstr>Tables 6 &amp; 7</vt:lpstr>
      <vt:lpstr>Table 8</vt:lpstr>
      <vt:lpstr>Tables 9 &amp; 10</vt:lpstr>
      <vt:lpstr>Tables 11 &amp; 12</vt:lpstr>
      <vt:lpstr>Tables 13 &amp; 14</vt:lpstr>
      <vt:lpstr>Tables 15 &amp; 16</vt:lpstr>
      <vt:lpstr>9</vt:lpstr>
      <vt:lpstr> Table 17 part 1</vt:lpstr>
      <vt:lpstr>Table 17 part 2</vt:lpstr>
      <vt:lpstr>Table 18</vt:lpstr>
      <vt:lpstr>Table 19</vt:lpstr>
      <vt:lpstr>Table 20 part 1</vt:lpstr>
      <vt:lpstr>Table 20 part 2</vt:lpstr>
      <vt:lpstr>Table 21 part A</vt:lpstr>
      <vt:lpstr>Table 21 part B</vt:lpstr>
      <vt:lpstr>Table 22</vt:lpstr>
      <vt:lpstr>' Table 17 part 1'!Print_Area</vt:lpstr>
      <vt:lpstr>'9'!Print_Area</vt:lpstr>
      <vt:lpstr>'table 1 &amp; 2'!Print_Area</vt:lpstr>
      <vt:lpstr>'Table 17 part 2'!Print_Area</vt:lpstr>
      <vt:lpstr>'Table 18'!Print_Area</vt:lpstr>
      <vt:lpstr>'Table 19'!Print_Area</vt:lpstr>
      <vt:lpstr>'Table 20 part 1'!Print_Area</vt:lpstr>
      <vt:lpstr>'Table 20 part 2'!Print_Area</vt:lpstr>
      <vt:lpstr>'Table 21 part A'!Print_Area</vt:lpstr>
      <vt:lpstr>'Table 21 part B'!Print_Area</vt:lpstr>
      <vt:lpstr>'Table 22'!Print_Area</vt:lpstr>
      <vt:lpstr>'Table 8'!Print_Area</vt:lpstr>
      <vt:lpstr>'Tables 11 &amp; 12'!Print_Area</vt:lpstr>
      <vt:lpstr>'Tables 13 &amp; 14'!Print_Area</vt:lpstr>
      <vt:lpstr>'Tables 15 &amp; 16'!Print_Area</vt:lpstr>
      <vt:lpstr>'Tables 3,4,&amp;5'!Print_Area</vt:lpstr>
      <vt:lpstr>'Tables 6 &amp; 7'!Print_Area</vt:lpstr>
      <vt:lpstr>'Tables 9 &amp; 10'!Print_Area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 Maury</dc:creator>
  <cp:lastModifiedBy>Suazo-Giles, Brenda, DFA</cp:lastModifiedBy>
  <cp:lastPrinted>2026-06-22T22:46:15Z</cp:lastPrinted>
  <dcterms:created xsi:type="dcterms:W3CDTF">2009-08-13T15:01:56Z</dcterms:created>
  <dcterms:modified xsi:type="dcterms:W3CDTF">2026-07-27T23:34:36Z</dcterms:modified>
</cp:coreProperties>
</file>